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230" windowHeight="6945" activeTab="0"/>
  </bookViews>
  <sheets>
    <sheet name="pm2018-27-04-2018-risultati" sheetId="1" r:id="rId1"/>
    <sheet name="pm2018-nitr-fosf-comparazione" sheetId="2" r:id="rId2"/>
    <sheet name="OssDisc-Compar-titolaz-sonde" sheetId="3" r:id="rId3"/>
    <sheet name="Quadro-Dati-SAVI" sheetId="4" r:id="rId4"/>
    <sheet name="scuole-classi-insegnanti" sheetId="5" r:id="rId5"/>
    <sheet name="LIMeco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<sst xmlns="http://schemas.openxmlformats.org/spreadsheetml/2006/main" count="706" uniqueCount="243">
  <si>
    <t>UFC/100ml</t>
  </si>
  <si>
    <t>mg/l</t>
  </si>
  <si>
    <t>%</t>
  </si>
  <si>
    <t>cromat.</t>
  </si>
  <si>
    <r>
      <t>Log1/</t>
    </r>
    <r>
      <rPr>
        <sz val="10"/>
        <rFont val="Arial"/>
        <family val="2"/>
      </rPr>
      <t>[</t>
    </r>
    <r>
      <rPr>
        <b/>
        <sz val="10"/>
        <rFont val="Arial"/>
        <family val="2"/>
      </rPr>
      <t>H+</t>
    </r>
    <r>
      <rPr>
        <sz val="10"/>
        <rFont val="Arial"/>
        <family val="2"/>
      </rPr>
      <t>]</t>
    </r>
  </si>
  <si>
    <t>°C</t>
  </si>
  <si>
    <t>μS/cm</t>
  </si>
  <si>
    <t>cm</t>
  </si>
  <si>
    <t>STAZ</t>
  </si>
  <si>
    <t>CAMP</t>
  </si>
  <si>
    <t>E. Coli</t>
  </si>
  <si>
    <t>B.O.D.5</t>
  </si>
  <si>
    <t>pH</t>
  </si>
  <si>
    <t>T ACQ</t>
  </si>
  <si>
    <r>
      <t>Δ</t>
    </r>
    <r>
      <rPr>
        <b/>
        <sz val="9"/>
        <rFont val="Arial"/>
        <family val="2"/>
      </rPr>
      <t xml:space="preserve"> T °C</t>
    </r>
  </si>
  <si>
    <t xml:space="preserve"> TORB</t>
  </si>
  <si>
    <t>MO1</t>
  </si>
  <si>
    <t>media</t>
  </si>
  <si>
    <t>MO2</t>
  </si>
  <si>
    <t>GO</t>
  </si>
  <si>
    <t>RO</t>
  </si>
  <si>
    <t>SU</t>
  </si>
  <si>
    <t>&gt;120</t>
  </si>
  <si>
    <t xml:space="preserve"> </t>
  </si>
  <si>
    <t>Note</t>
  </si>
  <si>
    <t>T Aria °C</t>
  </si>
  <si>
    <t>Stazioni</t>
  </si>
  <si>
    <t>n.d.</t>
  </si>
  <si>
    <t>SOL. DISC.</t>
  </si>
  <si>
    <t>Informazioni preliminari</t>
  </si>
  <si>
    <t>Orario Campionamenti</t>
  </si>
  <si>
    <t>TABELLA DELLE MEDIE</t>
  </si>
  <si>
    <t>ISTOGRAMMI COSTRUITI CON LA TABELLA DELLE MEDIE</t>
  </si>
  <si>
    <t>SECONDA GIORNATA DI MONITORAGGIO:  27 aprile  2018</t>
  </si>
  <si>
    <t>PROGETTO MINCIO  edizione 2018</t>
  </si>
  <si>
    <t>CORSI D'ACQUA INDAGATI: MINCIO, GOLDONE E OSONE</t>
  </si>
  <si>
    <t>MA</t>
  </si>
  <si>
    <t>GL</t>
  </si>
  <si>
    <t>OS</t>
  </si>
  <si>
    <t>BU</t>
  </si>
  <si>
    <t xml:space="preserve">COND </t>
  </si>
  <si>
    <t>OSS                % sat</t>
  </si>
  <si>
    <t>Fosfati_PO4</t>
  </si>
  <si>
    <t xml:space="preserve">cromatografia </t>
  </si>
  <si>
    <t>IS Fermi</t>
  </si>
  <si>
    <t xml:space="preserve">Fosfati_PO4 </t>
  </si>
  <si>
    <t>Nitrati_NO3</t>
  </si>
  <si>
    <r>
      <t xml:space="preserve">3- i dati delle colonne </t>
    </r>
    <r>
      <rPr>
        <b/>
        <sz val="10"/>
        <rFont val="Arial"/>
        <family val="2"/>
      </rPr>
      <t>cromatografia Fermi Fosfati_PO4 e Nitrati_NO3  (</t>
    </r>
    <r>
      <rPr>
        <sz val="10"/>
        <rFont val="Arial"/>
        <family val="2"/>
      </rPr>
      <t>fondo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azzurro</t>
    </r>
    <r>
      <rPr>
        <b/>
        <sz val="10"/>
        <rFont val="Arial"/>
        <family val="2"/>
      </rPr>
      <t xml:space="preserve">) </t>
    </r>
    <r>
      <rPr>
        <sz val="10"/>
        <rFont val="Arial"/>
        <family val="2"/>
      </rPr>
      <t xml:space="preserve">sono stati ottenuti mediante cromatografia HPLC nei Laboratori di Chimica del Fermi </t>
    </r>
    <r>
      <rPr>
        <b/>
        <sz val="10"/>
        <rFont val="Arial"/>
        <family val="2"/>
      </rPr>
      <t xml:space="preserve"> </t>
    </r>
  </si>
  <si>
    <r>
      <t xml:space="preserve">5- i dati della colonna </t>
    </r>
    <r>
      <rPr>
        <b/>
        <sz val="10"/>
        <rFont val="Arial"/>
        <family val="2"/>
      </rPr>
      <t>SOL. DISC</t>
    </r>
    <r>
      <rPr>
        <sz val="10"/>
        <rFont val="Arial"/>
        <family val="2"/>
      </rPr>
      <t xml:space="preserve">. (fondo rosa antico) sono stati ottenuti moltiplicando per 0,67 (fattore convenzionale) i dati della colonna </t>
    </r>
    <r>
      <rPr>
        <b/>
        <sz val="10"/>
        <rFont val="Arial"/>
        <family val="2"/>
      </rPr>
      <t xml:space="preserve">COND </t>
    </r>
  </si>
  <si>
    <r>
      <t xml:space="preserve">1- i dati della colonna </t>
    </r>
    <r>
      <rPr>
        <b/>
        <sz val="10"/>
        <rFont val="Arial"/>
        <family val="2"/>
      </rPr>
      <t>OSS</t>
    </r>
    <r>
      <rPr>
        <sz val="10"/>
        <rFont val="Arial"/>
        <family val="2"/>
      </rPr>
      <t xml:space="preserve"> (ossigeno disciolto) sono quelli ottenuti sul campo con il kit della Hach e col Tiosolfato preparato nei Laboratori di Chimica dell'IS Fermi, moltiplicati per il fattore 1,7 (vedi foglio Ossigeno Disciolto)</t>
    </r>
  </si>
  <si>
    <r>
      <t xml:space="preserve">2- i dati della colonna </t>
    </r>
    <r>
      <rPr>
        <b/>
        <sz val="10"/>
        <rFont val="Arial"/>
        <family val="2"/>
      </rPr>
      <t>BOD5</t>
    </r>
    <r>
      <rPr>
        <sz val="10"/>
        <rFont val="Arial"/>
        <family val="2"/>
      </rPr>
      <t xml:space="preserve"> sono stati calcolati sulla base dei dati di Ossigeno Discolto a 5 giorni (o a 6 o 7 giorni poi convertiti a 5) presso le singole scuole, moltiplicati per il fattore 1,7 (vedi riga precedente)   </t>
    </r>
  </si>
  <si>
    <r>
      <t xml:space="preserve">7- Il dato della stazione MO2 della colonna </t>
    </r>
    <r>
      <rPr>
        <b/>
        <sz val="10"/>
        <rFont val="Arial"/>
        <family val="2"/>
      </rPr>
      <t>TORB</t>
    </r>
    <r>
      <rPr>
        <sz val="10"/>
        <rFont val="Arial"/>
        <family val="2"/>
      </rPr>
      <t xml:space="preserve"> non è stato determinato per il verificarsi di una condizione imprevista (forte intorbidamento dell'acqua del Mincio provocato dall'immissione delle acque del torrente Vai)</t>
    </r>
  </si>
  <si>
    <t>inserire</t>
  </si>
  <si>
    <t>COND</t>
  </si>
  <si>
    <t>/</t>
  </si>
  <si>
    <t>&lt;1,0</t>
  </si>
  <si>
    <t>All'interno del bacino della diga di Salionze, in riva destra, nella stessa posizione degli anni scorsi</t>
  </si>
  <si>
    <t>GIORNATA DI MONITORAGGIO DI MINCIO, GOLDONE E OSONE, 27 aprile  2018</t>
  </si>
  <si>
    <t>OSS. Disc.</t>
  </si>
  <si>
    <t>OSS                % sat.</t>
  </si>
  <si>
    <t>SAVI</t>
  </si>
  <si>
    <t>&lt;0,15</t>
  </si>
  <si>
    <t>in campo</t>
  </si>
  <si>
    <t>in laboratorio</t>
  </si>
  <si>
    <t>Cl</t>
  </si>
  <si>
    <t>SO4</t>
  </si>
  <si>
    <t xml:space="preserve"> mg/l</t>
  </si>
  <si>
    <t>kit</t>
  </si>
  <si>
    <t>Log1/[H+]</t>
  </si>
  <si>
    <t>Δ T °C</t>
  </si>
  <si>
    <t>SOL. DISC</t>
  </si>
  <si>
    <t xml:space="preserve">μS/cm </t>
  </si>
  <si>
    <t>Valori medi</t>
  </si>
  <si>
    <t>QUADRO GENERALE DEI RISULTATI PRODOTTI DALLE SCUOLE</t>
  </si>
  <si>
    <t>VALORI DI NITRATI E FOSFATI TOTALI PRODOTTI DALLE SCUOLE E DALL'AZIENDA: COMPARAZIONE</t>
  </si>
  <si>
    <t>COMPARAZIONE TRA I DATI PRODOTTI DALLE SCUOLE E DALL'AZIENDA</t>
  </si>
  <si>
    <t>3- I campioni di acqua per l'esame del Glifosato sono stati prelevati in una bottiglia di vetro scuro</t>
  </si>
  <si>
    <t xml:space="preserve">4- Tutti i campioni destinati alla SAVI sono stati collocati in frigoriferi portatili con caricatori di freddo, trasportati al Fermi, raccolti e trasportati immediatamente alla SAVI entro le ore 16.30 </t>
  </si>
  <si>
    <t>Dati prodotti dall'azienda SAVI Laboratori&amp;Service</t>
  </si>
  <si>
    <t>Scuole</t>
  </si>
  <si>
    <t>condut.</t>
  </si>
  <si>
    <t>calcolo</t>
  </si>
  <si>
    <r>
      <t xml:space="preserve">4- i dati della colonna </t>
    </r>
    <r>
      <rPr>
        <b/>
        <sz val="10"/>
        <rFont val="Arial"/>
        <family val="2"/>
      </rPr>
      <t xml:space="preserve">COND </t>
    </r>
    <r>
      <rPr>
        <sz val="10"/>
        <rFont val="Arial"/>
        <family val="2"/>
      </rPr>
      <t>(fondo grigio chiaro) sono stati misurati nei Lab. di Chimica dell'IS Fermi in data 9.04.2018 da personale Labter-Crea</t>
    </r>
  </si>
  <si>
    <r>
      <t xml:space="preserve">6- i dati delle stazioni MO1, MA e GO della colonna </t>
    </r>
    <r>
      <rPr>
        <b/>
        <sz val="10"/>
        <rFont val="Arial"/>
        <family val="2"/>
      </rPr>
      <t>TORB</t>
    </r>
    <r>
      <rPr>
        <sz val="10"/>
        <rFont val="Arial"/>
        <family val="2"/>
      </rPr>
      <t xml:space="preserve"> (Trasparenza) sono stimati sulla base della trasparenza visiva dell'acqua</t>
    </r>
  </si>
  <si>
    <t>8- I dati nelle caselle rosse sono ritenuti non attendibili</t>
  </si>
  <si>
    <r>
      <t xml:space="preserve">10- I valori cromatografici delle colonne </t>
    </r>
    <r>
      <rPr>
        <b/>
        <sz val="10"/>
        <rFont val="Arial"/>
        <family val="2"/>
      </rPr>
      <t xml:space="preserve">Fosfati_PO4 e Nitrati_NO3 </t>
    </r>
    <r>
      <rPr>
        <sz val="10"/>
        <rFont val="Arial"/>
        <family val="2"/>
      </rPr>
      <t xml:space="preserve">sono stati ottenuti analizzando  il terzo campione per ogni stazione  </t>
    </r>
  </si>
  <si>
    <t>Escherichia coli</t>
  </si>
  <si>
    <t>Protocollo GREEN-GLOBE</t>
  </si>
  <si>
    <t>Kit HACH OD</t>
  </si>
  <si>
    <t xml:space="preserve">Numero gocce di titolazione </t>
  </si>
  <si>
    <t>Tiosolfato Fermi (A)</t>
  </si>
  <si>
    <t>Tiosolfato HACH (B)</t>
  </si>
  <si>
    <t>Operatore : personale Labter-Crea</t>
  </si>
  <si>
    <t xml:space="preserve">COMPARAZIONE VALORI DI OSSIGENO DISCIOLTO OTTENUTI MEDIANTE TITOLAZIONE CON TIOSOLFATO E MEDIANTE SONDA MULTIPARAMETRICA </t>
  </si>
  <si>
    <t>CAMPIONAMENTO</t>
  </si>
  <si>
    <t>ANALISI COOMPARATIVE</t>
  </si>
  <si>
    <t>Sede: Laboratori di ARPA LOMBARDIA Sede di Mantova</t>
  </si>
  <si>
    <t>Data: 5.05.2018     Ora: 15:00</t>
  </si>
  <si>
    <t>Data: 5.05.2018     Ora: 15:30</t>
  </si>
  <si>
    <t>Consulenza: Dott. Lorenza Galassi e Dott. Marco Fioravanti (ARPA LOMBARDIA Sede di Mantova)</t>
  </si>
  <si>
    <t>Osservazioni sul punto di campionamento e qualità dell'acqua</t>
  </si>
  <si>
    <t>Acqua ferma e torbida; trasparenza 40 cm circa</t>
  </si>
  <si>
    <t>Condizioni meteorologiche</t>
  </si>
  <si>
    <t>Sereno, molto soleggiato</t>
  </si>
  <si>
    <t xml:space="preserve">Stazione VI, Pietole Vecchia, Porticciolo "Amici della Vallazza" </t>
  </si>
  <si>
    <t>Oss Disciolto</t>
  </si>
  <si>
    <t>HYDRO</t>
  </si>
  <si>
    <t>AQUAMETER</t>
  </si>
  <si>
    <t>HQ30</t>
  </si>
  <si>
    <t>Sonda Multiparametrica (ARPA LOMBARDIA sede di Mantova)</t>
  </si>
  <si>
    <t>Operatore : personale Labter-Crea per kit e personale ARPA per Sonde Multiparametriche</t>
  </si>
  <si>
    <t>MISURA DELL'OSSIGENO DISCIOLTO MEDIANTE KIT</t>
  </si>
  <si>
    <t>(B/A)</t>
  </si>
  <si>
    <t>(1,5)</t>
  </si>
  <si>
    <t xml:space="preserve">Comment1: </t>
  </si>
  <si>
    <t>1-  la titolazione con Tiosolfato HACH fornisce un risultato molto prossimo a quello delle sonde ARPA.</t>
  </si>
  <si>
    <t>3-  per queste titolazioni il rapporto tra le gocce di Tiosolfato HACH e di Tiosolfato Fermi = 1,5</t>
  </si>
  <si>
    <t>2- la titolazione con Tiosolfato Fermi fornisce un valore di Ossigeno Disciolto sensibilmente inferiore rispetto al vero</t>
  </si>
  <si>
    <r>
      <t>3- Da molte altre misurazioni il rapporto più frequente risulta essere</t>
    </r>
    <r>
      <rPr>
        <sz val="16"/>
        <color indexed="8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1,7</t>
    </r>
  </si>
  <si>
    <r>
      <t xml:space="preserve">4- </t>
    </r>
    <r>
      <rPr>
        <b/>
        <sz val="16"/>
        <color indexed="8"/>
        <rFont val="Calibri"/>
        <family val="2"/>
      </rPr>
      <t>1,7</t>
    </r>
    <r>
      <rPr>
        <sz val="11"/>
        <color indexed="8"/>
        <rFont val="Calibri"/>
        <family val="2"/>
      </rPr>
      <t xml:space="preserve"> è pertanto il rapporto  adottato nei Quadri Generali Dati edizione 2018 per convertire i valori ottenuti con titolante Fermi in quelli che si sarebbero ottenuti con titolante HACH</t>
    </r>
  </si>
  <si>
    <t>Operatore: personale Labter-Crea</t>
  </si>
  <si>
    <t>Rif. Dott. Mosè Mozzarelli, Responsabile Tecnico Laboratorio</t>
  </si>
  <si>
    <t>QUADRO DATI PRODOTTO DALLA DITTA SAVI Laboratori &amp; Service, Roncoferraro (MN)</t>
  </si>
  <si>
    <t>1- All'ultima serie di campionamenti si sono prelevati anche i campioni di acqua destinati all'azienda SAVI Laboratori&amp;Service di Roncoferraro in contenitori forniti dall'azienda stessa</t>
  </si>
  <si>
    <t>2- I campioni di acqua per l'esame di Nitrati, Fosfati Totali, Cloruri e Solfati cono stati prelevati in una bottiglia di plastica trasparente con tappo giallo</t>
  </si>
  <si>
    <r>
      <t>SO</t>
    </r>
    <r>
      <rPr>
        <b/>
        <vertAlign val="subscript"/>
        <sz val="12"/>
        <rFont val="Arial"/>
        <family val="2"/>
      </rPr>
      <t>4</t>
    </r>
  </si>
  <si>
    <t>(mg/l)</t>
  </si>
  <si>
    <t>18SA10002</t>
  </si>
  <si>
    <t>Lago Inferiore, Diga Masetti (in riva destra) - Sigla AL2 - Coordinate 45° 08' 43,02" N  - 10° 48' 28,67" E</t>
  </si>
  <si>
    <t>&lt; 0.15</t>
  </si>
  <si>
    <t>18SA10003</t>
  </si>
  <si>
    <t>18SA10004</t>
  </si>
  <si>
    <t>Vallazza, Porticciolo di Pietole Vecchia (in riva destra) - Sigla VI - Coordinate 45° 07’ 54,16” N - 10° 49’ 33,66” E</t>
  </si>
  <si>
    <t>18SA10005</t>
  </si>
  <si>
    <t>Lago di Mezzo, Ponte di San Giorgio (in riva destra) - Sigla AL - Coordinate 45° 09’ 40,85” N - 10° 48’ 11,93” E</t>
  </si>
  <si>
    <t>18SA10126</t>
  </si>
  <si>
    <t>18SA10127</t>
  </si>
  <si>
    <t>18SA10128</t>
  </si>
  <si>
    <t>Monzambano 2 (a valle  della diga - In riva sinistra) - Sigla MO2 - Coordinate 45° 23’ 35,85” N - 10° 42’ 36,27” E</t>
  </si>
  <si>
    <t>18SA10129</t>
  </si>
  <si>
    <t>Massimbona (corte Fausto Stancari, riva sinistra) - Sigla MA - Coordinate 45° 16’ 55,56” N - 10° 43’ 13,78” E</t>
  </si>
  <si>
    <t>18SA10130</t>
  </si>
  <si>
    <t>Canale Osone (Monte Perego, in riva sinistra) - Sigla OS - Coordinate 45° 09’ 43,69” N - 10° 40’ 50,43” E</t>
  </si>
  <si>
    <t>18SA10131</t>
  </si>
  <si>
    <t>Governolo (alla biforcazione del Mincio -  in riva sinistra) - Sigla SU - Coordinate 45° 05’ 17,50” N - 10° 57’ 09,10” E</t>
  </si>
  <si>
    <t>18SA10132</t>
  </si>
  <si>
    <t>18SA10133</t>
  </si>
  <si>
    <t>18SA10149</t>
  </si>
  <si>
    <t>Sigla Stazioni</t>
  </si>
  <si>
    <t>AL2</t>
  </si>
  <si>
    <t>VI</t>
  </si>
  <si>
    <t>AL</t>
  </si>
  <si>
    <t>26.04.208</t>
  </si>
  <si>
    <t>27.04.208</t>
  </si>
  <si>
    <t xml:space="preserve">4- Tutti i campioni destinati alla SAVI sono stati collocati in frigoriferi portatili con caricatori di freddo E trasportati immediatamente alla SAVI entro le ore 16.30 del giorno di campionamento </t>
  </si>
  <si>
    <t>Rivalta (Centro Parco, in riva destra) - Sigla RO - Coordinate 45° 10’ 47,80” N - 10° 40’ 56,13” E</t>
  </si>
  <si>
    <t>Monzambano 1 (nel bacino della diga - In riva destra) - Sigla MO1 - Coordinate 45° 23’ 41,53” N - 10° 42’ 42,12” E</t>
  </si>
  <si>
    <t>Canale Goldone (Strada Camignana, a nord di Rivalta, in riva destra) - Sigla GL - Coordinate 45° 11’ 57,34” N - 10° 40’ 44,35” E</t>
  </si>
  <si>
    <t>Coordinate delle Stazioni</t>
  </si>
  <si>
    <t>Data di Campionamento</t>
  </si>
  <si>
    <t>Latitudine Nord</t>
  </si>
  <si>
    <t>Longitudine Est</t>
  </si>
  <si>
    <t xml:space="preserve">45° 08' 43,02" N  </t>
  </si>
  <si>
    <t>10° 48’ 11,93” E</t>
  </si>
  <si>
    <t>10° 48' 28,67" E</t>
  </si>
  <si>
    <t>10° 49’ 33,66” E</t>
  </si>
  <si>
    <t xml:space="preserve">45° 07’ 54,16” N </t>
  </si>
  <si>
    <t>45° 09’ 40,85” N</t>
  </si>
  <si>
    <t>10° 42’ 10,58” E</t>
  </si>
  <si>
    <t>45° 09’ 28,69” N</t>
  </si>
  <si>
    <t>10° 42’ 42,12” E</t>
  </si>
  <si>
    <t>45° 23’ 41,53” N</t>
  </si>
  <si>
    <t>10° 42’ 36,27” E</t>
  </si>
  <si>
    <t>45° 23’ 35,85” N</t>
  </si>
  <si>
    <t>10° 43’ 13,78” E</t>
  </si>
  <si>
    <t>10° 40’ 50,43” E</t>
  </si>
  <si>
    <t xml:space="preserve">45° 09’ 43,69” N </t>
  </si>
  <si>
    <t>45° 16’ 55,56” N</t>
  </si>
  <si>
    <t>10° 57’ 09,10” E</t>
  </si>
  <si>
    <t>45° 05’ 17,50” N</t>
  </si>
  <si>
    <t>10° 40’ 56,13” E</t>
  </si>
  <si>
    <t>45° 10’ 47,80” N</t>
  </si>
  <si>
    <t>10° 40’ 44,35” E</t>
  </si>
  <si>
    <t>45° 11’ 57,34” N</t>
  </si>
  <si>
    <t>45° 15’ 28,51” N</t>
  </si>
  <si>
    <t>10° 40’ 43,95" E</t>
  </si>
  <si>
    <t>Goito  (lavatoio di fronte a Villa Moschini - In riva destra) - Sigla GO - Coordinate 45° 15’ 28,51” N - 10° 40’ 43,95" E</t>
  </si>
  <si>
    <t>Grazie (Valli del Mincio, canale principale) - Sigla BU - Coordinate 45° 09’ 28,69” N - 10° 42’ 10,58” E</t>
  </si>
  <si>
    <t>SA 2</t>
  </si>
  <si>
    <t>Lago Superiore, Loc. Zanzara (in riva destra) - Sigla SA2 - Coordinate 45° 09’ 51,25” N - 10° 47’ 15,99” E</t>
  </si>
  <si>
    <t xml:space="preserve">45° 09’ 51,25” N </t>
  </si>
  <si>
    <t>10° 47’ 15,99” E</t>
  </si>
  <si>
    <t>Nota: i dati di Nitrati rilevati dalla cromatografia sono sensibilmente più alti di quellli rilevati con i kit</t>
  </si>
  <si>
    <t xml:space="preserve">Nelle tabelle sovrastanti, per le due giornate le Stazioni sono riportate da Nord a Sud </t>
  </si>
  <si>
    <t xml:space="preserve">Codice Campione </t>
  </si>
  <si>
    <t>Descrizione Stazione di Rilevamento</t>
  </si>
  <si>
    <t xml:space="preserve">Nota: lo strumento basato sull'HPLC del Fermi non rileva valori di Fosfati_PO4 inferiori a 1 mg/l. </t>
  </si>
  <si>
    <t>Per nessun campione è stato rilevato un valore maggiore o uguale a 1 mg/l di Fosfati_PO4.</t>
  </si>
  <si>
    <t>SCUOLE, CLASSI, INSEGNANTI PARTECIPANTI</t>
  </si>
  <si>
    <t>SCUOLA SECONDARIE DI SECONDO GRADO</t>
  </si>
  <si>
    <t>SCUOLA SECONDARIE DI PRIMO GRADO</t>
  </si>
  <si>
    <t>SSPG GOITO</t>
  </si>
  <si>
    <t>SSPG MARMIROLO</t>
  </si>
  <si>
    <t>SSPG RONCOFERRARO</t>
  </si>
  <si>
    <t>CLASSI</t>
  </si>
  <si>
    <t>INSEGNANTI</t>
  </si>
  <si>
    <t>3B, 3D</t>
  </si>
  <si>
    <t>2C</t>
  </si>
  <si>
    <r>
      <t xml:space="preserve">ISTITUTO SUPERIORE </t>
    </r>
    <r>
      <rPr>
        <b/>
        <i/>
        <sz val="10"/>
        <rFont val="Arial"/>
        <family val="2"/>
      </rPr>
      <t xml:space="preserve">FERMI </t>
    </r>
    <r>
      <rPr>
        <b/>
        <sz val="10"/>
        <rFont val="Arial"/>
        <family val="2"/>
      </rPr>
      <t>MANTOVA</t>
    </r>
  </si>
  <si>
    <r>
      <t xml:space="preserve">ISTITUTO SUPERIORE </t>
    </r>
    <r>
      <rPr>
        <b/>
        <i/>
        <sz val="10"/>
        <rFont val="Arial"/>
        <family val="2"/>
      </rPr>
      <t xml:space="preserve">STROZZI </t>
    </r>
    <r>
      <rPr>
        <b/>
        <sz val="10"/>
        <rFont val="Arial"/>
        <family val="2"/>
      </rPr>
      <t>MANTOVA</t>
    </r>
  </si>
  <si>
    <t>INSEGNANTI E ASSISTENTI</t>
  </si>
  <si>
    <r>
      <t>Proff. Alessandro D’Aloisio, Federica Gibertoni,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Paolo Munari, Marco Mozzanega e Rita Scapinelli (referente)</t>
    </r>
  </si>
  <si>
    <t>Proff. Monica Martini e Alessandro Tosoni (referente)</t>
  </si>
  <si>
    <t>Proff. Francesco Cappella,  Adelia Pezzini, Sergio Platania, Carlo Sai, Alda Sanguanini,  Cristian Soncini (referente) e Giacomo Toschi</t>
  </si>
  <si>
    <r>
      <t>4D ARTICOLAZIONE PRODUZIONI E TRASFORMAZIONI                                                                     4E</t>
    </r>
    <r>
      <rPr>
        <b/>
        <sz val="9"/>
        <color indexed="63"/>
        <rFont val="Arial"/>
        <family val="2"/>
      </rPr>
      <t xml:space="preserve"> ARTICOLAZIONE  GESTIONE AMBIENTE E TERRITORIO </t>
    </r>
  </si>
  <si>
    <r>
      <t xml:space="preserve">2C </t>
    </r>
    <r>
      <rPr>
        <sz val="10"/>
        <rFont val="Arial"/>
        <family val="2"/>
      </rPr>
      <t>(la classe ha assistito alle analisi)</t>
    </r>
  </si>
  <si>
    <r>
      <t xml:space="preserve">Proff. Massimo Zanca e Vanessa  Rossito </t>
    </r>
    <r>
      <rPr>
        <sz val="9"/>
        <rFont val="Arial"/>
        <family val="2"/>
      </rPr>
      <t xml:space="preserve">(il Prof. Marco Mantovani, referente, ha dovuto seguire in visita di istruzione la Classe che aveva fatto addestramento al Fermi) </t>
    </r>
  </si>
  <si>
    <t>4CCH MATERIALI                                                                           4C BIO BIOTECNOLOGIE</t>
  </si>
  <si>
    <t>PROGETTO DI ALTERNANZA SCUOLA LAVORO IN CONVENZIONE COL PARCO DEL MINCIO (ANNO 2018)</t>
  </si>
  <si>
    <t>IL PROGETTO FA PARTE DI UN PROGETTO DI EDUCAZIONE AMBIENTALE DEL PARCO DEL MINCIO, SUPPORTATO DA REGIONE LOMBARDIA</t>
  </si>
  <si>
    <t>IL PROGETTO COSTITUISCE UN'AZIONE DEL CONTRATTO DI FIUME MINCIO</t>
  </si>
  <si>
    <r>
      <t xml:space="preserve">9- I dati della colonna </t>
    </r>
    <r>
      <rPr>
        <b/>
        <sz val="10"/>
        <rFont val="Arial"/>
        <family val="2"/>
      </rPr>
      <t>BOD5</t>
    </r>
    <r>
      <rPr>
        <sz val="10"/>
        <rFont val="Arial"/>
        <family val="2"/>
      </rPr>
      <t xml:space="preserve"> e </t>
    </r>
    <r>
      <rPr>
        <b/>
        <sz val="10"/>
        <rFont val="Arial"/>
        <family val="2"/>
      </rPr>
      <t>COND</t>
    </r>
    <r>
      <rPr>
        <sz val="10"/>
        <rFont val="Arial"/>
        <family val="2"/>
      </rPr>
      <t xml:space="preserve"> (fondo viola) per la stazione GL (Goldone) sono stati ricavati da campionamenti effettuati in data 30.04.2018, esaminati in data 5.05.2018 per BOD5 e COND</t>
    </r>
  </si>
  <si>
    <t>- Il dato nella casella rossa è ritenuto non attendibile, per quanto sia prossimo a quello fornito dalla cromatografia SAVI</t>
  </si>
  <si>
    <t>1- All'ultima serie di campionamenti si sono prelevati anche i campioni di acqua destinati all'azienda SAVI Laboratori &amp; Service di Roncoferraro in contenitori forniti dall'azienda stessa</t>
  </si>
  <si>
    <t>Proff. Matteo Bertellini (referente) , Lucia Urban , Assistenti Tecnici Paolo Mazzucco (referente), Alviero Menossi e Matteo Dalla Vecchia</t>
  </si>
  <si>
    <t>Nitrati_N</t>
  </si>
  <si>
    <t xml:space="preserve">CALCOLO </t>
  </si>
  <si>
    <t>LIMeco</t>
  </si>
  <si>
    <t>per assunto</t>
  </si>
  <si>
    <t>Fosfati_P</t>
  </si>
  <si>
    <t>NH4_N</t>
  </si>
  <si>
    <r>
      <rPr>
        <b/>
        <sz val="10"/>
        <rFont val="Arial"/>
        <family val="2"/>
      </rPr>
      <t xml:space="preserve">I </t>
    </r>
    <r>
      <rPr>
        <sz val="10"/>
        <rFont val="Arial"/>
        <family val="2"/>
      </rPr>
      <t xml:space="preserve">OSS % sat -100 </t>
    </r>
    <r>
      <rPr>
        <b/>
        <sz val="10"/>
        <rFont val="Arial"/>
        <family val="2"/>
      </rPr>
      <t>I</t>
    </r>
  </si>
  <si>
    <t>LIMEco-Liv</t>
  </si>
  <si>
    <t>Punt</t>
  </si>
  <si>
    <t>LIMeco-Liv</t>
  </si>
  <si>
    <t>Punt.</t>
  </si>
  <si>
    <t>PUNT complessivo</t>
  </si>
  <si>
    <t>Stato di Qualità</t>
  </si>
  <si>
    <t>&lt;0,05</t>
  </si>
  <si>
    <t>Buono</t>
  </si>
  <si>
    <t>Sufficiente</t>
  </si>
  <si>
    <t>SA</t>
  </si>
  <si>
    <t>CALCOLO DEL LIVELLO DI INQUINAMENTO DA MACRODESCRITTORI PER LO STATO ECOLOGICO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</si>
</sst>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#,##0.0_ ;\-#,##0.0\ "/>
    <numFmt numFmtId="166" formatCode="0.0"/>
    <numFmt numFmtId="167" formatCode="0.000"/>
    <numFmt numFmtId="168" formatCode="0.0_)"/>
    <numFmt numFmtId="169" formatCode="0_)"/>
    <numFmt numFmtId="170" formatCode="#,##0.0"/>
    <numFmt numFmtId="171" formatCode="0.00000"/>
    <numFmt numFmtId="172" formatCode="0.00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8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9"/>
      <name val="Verdana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vertAlign val="subscript"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color indexed="63"/>
      <name val="Arial"/>
      <family val="2"/>
    </font>
    <font>
      <sz val="10"/>
      <color indexed="12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6"/>
      <color indexed="30"/>
      <name val="Arial"/>
      <family val="2"/>
    </font>
    <font>
      <b/>
      <sz val="10"/>
      <color indexed="30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sz val="10"/>
      <color indexed="9"/>
      <name val="Arial"/>
      <family val="2"/>
    </font>
    <font>
      <b/>
      <sz val="10"/>
      <color indexed="62"/>
      <name val="Arial"/>
      <family val="2"/>
    </font>
    <font>
      <b/>
      <sz val="16"/>
      <color indexed="62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60690"/>
      <name val="Arial"/>
      <family val="2"/>
    </font>
    <font>
      <b/>
      <sz val="10"/>
      <color theme="1"/>
      <name val="Arial"/>
      <family val="2"/>
    </font>
    <font>
      <b/>
      <sz val="16"/>
      <color rgb="FF0070C0"/>
      <name val="Arial"/>
      <family val="2"/>
    </font>
    <font>
      <b/>
      <sz val="10"/>
      <color rgb="FF0070C0"/>
      <name val="Arial"/>
      <family val="2"/>
    </font>
    <font>
      <b/>
      <sz val="9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008E40"/>
      <name val="Arial"/>
      <family val="2"/>
    </font>
    <font>
      <sz val="10"/>
      <color theme="0"/>
      <name val="Arial"/>
      <family val="2"/>
    </font>
    <font>
      <b/>
      <sz val="10"/>
      <color theme="3" tint="0.39998000860214233"/>
      <name val="Arial"/>
      <family val="2"/>
    </font>
    <font>
      <b/>
      <sz val="16"/>
      <color theme="3" tint="0.39998000860214233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A1F4FD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A84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medium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3" tint="0.5999900102615356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>
        <color indexed="63"/>
      </bottom>
    </border>
    <border>
      <left>
        <color indexed="63"/>
      </left>
      <right style="thin">
        <color theme="3" tint="0.39998000860214233"/>
      </right>
      <top>
        <color indexed="63"/>
      </top>
      <bottom>
        <color indexed="63"/>
      </bottom>
    </border>
    <border>
      <left style="thin">
        <color theme="3" tint="0.3999800086021423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8E40"/>
      </top>
      <bottom>
        <color indexed="63"/>
      </bottom>
    </border>
    <border>
      <left style="thin">
        <color theme="3" tint="0.39998000860214233"/>
      </left>
      <right>
        <color indexed="63"/>
      </right>
      <top>
        <color indexed="63"/>
      </top>
      <bottom style="thin">
        <color theme="3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2" applyNumberFormat="0" applyFill="0" applyAlignment="0" applyProtection="0"/>
    <xf numFmtId="0" fontId="60" fillId="21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164" fontId="0" fillId="0" borderId="0" applyFill="0" applyBorder="0" applyAlignment="0" applyProtection="0"/>
    <xf numFmtId="0" fontId="6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0" fontId="65" fillId="20" borderId="5" applyNumberFormat="0" applyAlignment="0" applyProtection="0"/>
    <xf numFmtId="9" fontId="0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35">
    <xf numFmtId="0" fontId="0" fillId="0" borderId="0" xfId="0" applyAlignment="1">
      <alignment/>
    </xf>
    <xf numFmtId="165" fontId="1" fillId="0" borderId="0" xfId="44" applyNumberFormat="1" applyFont="1" applyFill="1" applyBorder="1" applyAlignment="1" applyProtection="1">
      <alignment/>
      <protection/>
    </xf>
    <xf numFmtId="1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 wrapText="1"/>
    </xf>
    <xf numFmtId="3" fontId="3" fillId="35" borderId="14" xfId="0" applyNumberFormat="1" applyFont="1" applyFill="1" applyBorder="1" applyAlignment="1">
      <alignment horizontal="center" wrapText="1"/>
    </xf>
    <xf numFmtId="165" fontId="3" fillId="35" borderId="15" xfId="44" applyNumberFormat="1" applyFont="1" applyFill="1" applyBorder="1" applyAlignment="1" applyProtection="1">
      <alignment horizontal="center" wrapText="1"/>
      <protection/>
    </xf>
    <xf numFmtId="1" fontId="3" fillId="35" borderId="15" xfId="0" applyNumberFormat="1" applyFont="1" applyFill="1" applyBorder="1" applyAlignment="1">
      <alignment horizontal="center" wrapText="1"/>
    </xf>
    <xf numFmtId="166" fontId="3" fillId="35" borderId="15" xfId="0" applyNumberFormat="1" applyFont="1" applyFill="1" applyBorder="1" applyAlignment="1">
      <alignment horizontal="center" wrapText="1"/>
    </xf>
    <xf numFmtId="2" fontId="2" fillId="34" borderId="15" xfId="0" applyNumberFormat="1" applyFont="1" applyFill="1" applyBorder="1" applyAlignment="1">
      <alignment horizontal="center" wrapText="1"/>
    </xf>
    <xf numFmtId="2" fontId="3" fillId="35" borderId="16" xfId="0" applyNumberFormat="1" applyFont="1" applyFill="1" applyBorder="1" applyAlignment="1">
      <alignment horizontal="center" wrapText="1"/>
    </xf>
    <xf numFmtId="2" fontId="5" fillId="35" borderId="15" xfId="0" applyNumberFormat="1" applyFont="1" applyFill="1" applyBorder="1" applyAlignment="1">
      <alignment horizontal="center" wrapText="1"/>
    </xf>
    <xf numFmtId="166" fontId="3" fillId="35" borderId="17" xfId="0" applyNumberFormat="1" applyFont="1" applyFill="1" applyBorder="1" applyAlignment="1">
      <alignment horizontal="center" wrapText="1"/>
    </xf>
    <xf numFmtId="166" fontId="6" fillId="35" borderId="15" xfId="0" applyNumberFormat="1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" fontId="0" fillId="0" borderId="20" xfId="0" applyNumberFormat="1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6" fontId="7" fillId="0" borderId="2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6" fontId="0" fillId="0" borderId="2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5" fontId="2" fillId="0" borderId="0" xfId="44" applyNumberFormat="1" applyFont="1" applyFill="1" applyBorder="1" applyAlignment="1" applyProtection="1">
      <alignment horizontal="center"/>
      <protection/>
    </xf>
    <xf numFmtId="168" fontId="2" fillId="0" borderId="0" xfId="0" applyNumberFormat="1" applyFont="1" applyBorder="1" applyAlignment="1" applyProtection="1">
      <alignment horizontal="center"/>
      <protection/>
    </xf>
    <xf numFmtId="16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16" fontId="7" fillId="0" borderId="0" xfId="0" applyNumberFormat="1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 vertical="top" wrapText="1"/>
    </xf>
    <xf numFmtId="16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2" fillId="33" borderId="26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0" xfId="0" applyFont="1" applyAlignment="1">
      <alignment/>
    </xf>
    <xf numFmtId="2" fontId="2" fillId="34" borderId="19" xfId="0" applyNumberFormat="1" applyFont="1" applyFill="1" applyBorder="1" applyAlignment="1">
      <alignment horizontal="center"/>
    </xf>
    <xf numFmtId="2" fontId="2" fillId="36" borderId="26" xfId="0" applyNumberFormat="1" applyFont="1" applyFill="1" applyBorder="1" applyAlignment="1">
      <alignment horizontal="center" vertical="center" wrapText="1"/>
    </xf>
    <xf numFmtId="2" fontId="75" fillId="36" borderId="32" xfId="0" applyNumberFormat="1" applyFont="1" applyFill="1" applyBorder="1" applyAlignment="1">
      <alignment horizontal="center" vertical="center"/>
    </xf>
    <xf numFmtId="2" fontId="2" fillId="36" borderId="26" xfId="0" applyNumberFormat="1" applyFont="1" applyFill="1" applyBorder="1" applyAlignment="1">
      <alignment horizontal="center" vertical="top" wrapText="1"/>
    </xf>
    <xf numFmtId="2" fontId="2" fillId="36" borderId="33" xfId="0" applyNumberFormat="1" applyFont="1" applyFill="1" applyBorder="1" applyAlignment="1">
      <alignment horizontal="center" vertical="center" wrapText="1"/>
    </xf>
    <xf numFmtId="2" fontId="2" fillId="36" borderId="34" xfId="0" applyNumberFormat="1" applyFont="1" applyFill="1" applyBorder="1" applyAlignment="1">
      <alignment horizontal="center" vertical="top" wrapText="1"/>
    </xf>
    <xf numFmtId="2" fontId="2" fillId="36" borderId="35" xfId="0" applyNumberFormat="1" applyFont="1" applyFill="1" applyBorder="1" applyAlignment="1">
      <alignment horizontal="center" vertical="top" wrapText="1"/>
    </xf>
    <xf numFmtId="0" fontId="2" fillId="36" borderId="36" xfId="0" applyFont="1" applyFill="1" applyBorder="1" applyAlignment="1">
      <alignment horizontal="center" vertical="top" wrapText="1"/>
    </xf>
    <xf numFmtId="0" fontId="2" fillId="36" borderId="37" xfId="0" applyFont="1" applyFill="1" applyBorder="1" applyAlignment="1">
      <alignment horizontal="center" vertical="top" wrapText="1"/>
    </xf>
    <xf numFmtId="2" fontId="75" fillId="36" borderId="38" xfId="0" applyNumberFormat="1" applyFont="1" applyFill="1" applyBorder="1" applyAlignment="1">
      <alignment horizontal="center"/>
    </xf>
    <xf numFmtId="1" fontId="3" fillId="35" borderId="39" xfId="0" applyNumberFormat="1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/>
    </xf>
    <xf numFmtId="49" fontId="0" fillId="0" borderId="0" xfId="44" applyNumberFormat="1" applyFont="1" applyFill="1" applyBorder="1" applyAlignment="1" applyProtection="1">
      <alignment/>
      <protection/>
    </xf>
    <xf numFmtId="49" fontId="0" fillId="0" borderId="0" xfId="44" applyNumberFormat="1" applyFont="1" applyFill="1" applyBorder="1" applyAlignment="1" applyProtection="1">
      <alignment/>
      <protection/>
    </xf>
    <xf numFmtId="3" fontId="2" fillId="0" borderId="19" xfId="0" applyNumberFormat="1" applyFont="1" applyFill="1" applyBorder="1" applyAlignment="1">
      <alignment horizontal="center"/>
    </xf>
    <xf numFmtId="166" fontId="2" fillId="0" borderId="19" xfId="44" applyNumberFormat="1" applyFont="1" applyFill="1" applyBorder="1" applyAlignment="1" applyProtection="1">
      <alignment horizontal="center"/>
      <protection/>
    </xf>
    <xf numFmtId="166" fontId="2" fillId="0" borderId="19" xfId="0" applyNumberFormat="1" applyFont="1" applyFill="1" applyBorder="1" applyAlignment="1">
      <alignment horizontal="center"/>
    </xf>
    <xf numFmtId="168" fontId="2" fillId="0" borderId="19" xfId="0" applyNumberFormat="1" applyFont="1" applyFill="1" applyBorder="1" applyAlignment="1" applyProtection="1">
      <alignment horizontal="center"/>
      <protection/>
    </xf>
    <xf numFmtId="3" fontId="2" fillId="0" borderId="11" xfId="0" applyNumberFormat="1" applyFont="1" applyFill="1" applyBorder="1" applyAlignment="1">
      <alignment horizontal="center"/>
    </xf>
    <xf numFmtId="166" fontId="2" fillId="0" borderId="11" xfId="44" applyNumberFormat="1" applyFont="1" applyFill="1" applyBorder="1" applyAlignment="1" applyProtection="1">
      <alignment horizontal="center"/>
      <protection/>
    </xf>
    <xf numFmtId="166" fontId="2" fillId="0" borderId="11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166" fontId="4" fillId="0" borderId="15" xfId="0" applyNumberFormat="1" applyFont="1" applyFill="1" applyBorder="1" applyAlignment="1">
      <alignment horizontal="center"/>
    </xf>
    <xf numFmtId="170" fontId="4" fillId="0" borderId="15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166" fontId="2" fillId="0" borderId="26" xfId="0" applyNumberFormat="1" applyFont="1" applyFill="1" applyBorder="1" applyAlignment="1">
      <alignment horizontal="center"/>
    </xf>
    <xf numFmtId="168" fontId="2" fillId="0" borderId="41" xfId="0" applyNumberFormat="1" applyFont="1" applyFill="1" applyBorder="1" applyAlignment="1" applyProtection="1">
      <alignment horizontal="center"/>
      <protection/>
    </xf>
    <xf numFmtId="170" fontId="4" fillId="0" borderId="42" xfId="0" applyNumberFormat="1" applyFont="1" applyFill="1" applyBorder="1" applyAlignment="1">
      <alignment horizontal="center"/>
    </xf>
    <xf numFmtId="166" fontId="4" fillId="0" borderId="42" xfId="0" applyNumberFormat="1" applyFont="1" applyFill="1" applyBorder="1" applyAlignment="1">
      <alignment horizontal="center"/>
    </xf>
    <xf numFmtId="169" fontId="2" fillId="0" borderId="43" xfId="0" applyNumberFormat="1" applyFont="1" applyFill="1" applyBorder="1" applyAlignment="1" applyProtection="1">
      <alignment horizontal="center"/>
      <protection/>
    </xf>
    <xf numFmtId="169" fontId="2" fillId="0" borderId="44" xfId="0" applyNumberFormat="1" applyFont="1" applyFill="1" applyBorder="1" applyAlignment="1" applyProtection="1">
      <alignment horizontal="center"/>
      <protection/>
    </xf>
    <xf numFmtId="0" fontId="2" fillId="0" borderId="45" xfId="0" applyFont="1" applyFill="1" applyBorder="1" applyAlignment="1">
      <alignment horizontal="center"/>
    </xf>
    <xf numFmtId="166" fontId="2" fillId="0" borderId="46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6" fontId="2" fillId="0" borderId="47" xfId="0" applyNumberFormat="1" applyFont="1" applyFill="1" applyBorder="1" applyAlignment="1">
      <alignment horizontal="center"/>
    </xf>
    <xf numFmtId="166" fontId="2" fillId="0" borderId="48" xfId="0" applyNumberFormat="1" applyFont="1" applyFill="1" applyBorder="1" applyAlignment="1">
      <alignment horizontal="center"/>
    </xf>
    <xf numFmtId="170" fontId="2" fillId="0" borderId="19" xfId="0" applyNumberFormat="1" applyFont="1" applyFill="1" applyBorder="1" applyAlignment="1">
      <alignment horizontal="center"/>
    </xf>
    <xf numFmtId="170" fontId="2" fillId="0" borderId="11" xfId="0" applyNumberFormat="1" applyFont="1" applyFill="1" applyBorder="1" applyAlignment="1">
      <alignment horizontal="center"/>
    </xf>
    <xf numFmtId="167" fontId="3" fillId="37" borderId="15" xfId="0" applyNumberFormat="1" applyFont="1" applyFill="1" applyBorder="1" applyAlignment="1">
      <alignment horizontal="center" wrapText="1"/>
    </xf>
    <xf numFmtId="1" fontId="2" fillId="15" borderId="19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3" fontId="4" fillId="0" borderId="39" xfId="0" applyNumberFormat="1" applyFont="1" applyFill="1" applyBorder="1" applyAlignment="1">
      <alignment horizontal="center"/>
    </xf>
    <xf numFmtId="1" fontId="2" fillId="0" borderId="43" xfId="0" applyNumberFormat="1" applyFont="1" applyFill="1" applyBorder="1" applyAlignment="1" applyProtection="1">
      <alignment horizontal="center"/>
      <protection/>
    </xf>
    <xf numFmtId="1" fontId="2" fillId="0" borderId="44" xfId="0" applyNumberFormat="1" applyFont="1" applyFill="1" applyBorder="1" applyAlignment="1">
      <alignment horizontal="center"/>
    </xf>
    <xf numFmtId="1" fontId="2" fillId="0" borderId="43" xfId="0" applyNumberFormat="1" applyFont="1" applyFill="1" applyBorder="1" applyAlignment="1">
      <alignment horizontal="center"/>
    </xf>
    <xf numFmtId="1" fontId="4" fillId="0" borderId="39" xfId="0" applyNumberFormat="1" applyFont="1" applyFill="1" applyBorder="1" applyAlignment="1">
      <alignment horizontal="center"/>
    </xf>
    <xf numFmtId="0" fontId="2" fillId="38" borderId="19" xfId="0" applyFont="1" applyFill="1" applyBorder="1" applyAlignment="1">
      <alignment horizontal="center"/>
    </xf>
    <xf numFmtId="1" fontId="2" fillId="15" borderId="26" xfId="0" applyNumberFormat="1" applyFont="1" applyFill="1" applyBorder="1" applyAlignment="1">
      <alignment horizontal="center"/>
    </xf>
    <xf numFmtId="1" fontId="2" fillId="15" borderId="33" xfId="0" applyNumberFormat="1" applyFont="1" applyFill="1" applyBorder="1" applyAlignment="1">
      <alignment horizontal="center"/>
    </xf>
    <xf numFmtId="1" fontId="2" fillId="39" borderId="49" xfId="0" applyNumberFormat="1" applyFont="1" applyFill="1" applyBorder="1" applyAlignment="1" applyProtection="1">
      <alignment horizontal="center"/>
      <protection/>
    </xf>
    <xf numFmtId="3" fontId="4" fillId="39" borderId="50" xfId="0" applyNumberFormat="1" applyFont="1" applyFill="1" applyBorder="1" applyAlignment="1">
      <alignment horizontal="center"/>
    </xf>
    <xf numFmtId="3" fontId="4" fillId="39" borderId="15" xfId="0" applyNumberFormat="1" applyFont="1" applyFill="1" applyBorder="1" applyAlignment="1">
      <alignment horizontal="center"/>
    </xf>
    <xf numFmtId="170" fontId="4" fillId="39" borderId="15" xfId="0" applyNumberFormat="1" applyFont="1" applyFill="1" applyBorder="1" applyAlignment="1">
      <alignment horizontal="center"/>
    </xf>
    <xf numFmtId="2" fontId="2" fillId="39" borderId="19" xfId="0" applyNumberFormat="1" applyFont="1" applyFill="1" applyBorder="1" applyAlignment="1" applyProtection="1">
      <alignment horizontal="center"/>
      <protection/>
    </xf>
    <xf numFmtId="2" fontId="2" fillId="39" borderId="11" xfId="0" applyNumberFormat="1" applyFont="1" applyFill="1" applyBorder="1" applyAlignment="1" applyProtection="1">
      <alignment horizontal="center"/>
      <protection/>
    </xf>
    <xf numFmtId="2" fontId="4" fillId="39" borderId="15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2" fillId="40" borderId="11" xfId="0" applyFont="1" applyFill="1" applyBorder="1" applyAlignment="1">
      <alignment horizontal="center"/>
    </xf>
    <xf numFmtId="1" fontId="3" fillId="41" borderId="15" xfId="0" applyNumberFormat="1" applyFont="1" applyFill="1" applyBorder="1" applyAlignment="1">
      <alignment horizontal="center" wrapText="1"/>
    </xf>
    <xf numFmtId="1" fontId="2" fillId="42" borderId="51" xfId="0" applyNumberFormat="1" applyFont="1" applyFill="1" applyBorder="1" applyAlignment="1">
      <alignment horizontal="center"/>
    </xf>
    <xf numFmtId="1" fontId="2" fillId="42" borderId="11" xfId="0" applyNumberFormat="1" applyFont="1" applyFill="1" applyBorder="1" applyAlignment="1" applyProtection="1">
      <alignment horizontal="center"/>
      <protection/>
    </xf>
    <xf numFmtId="1" fontId="2" fillId="42" borderId="11" xfId="0" applyNumberFormat="1" applyFont="1" applyFill="1" applyBorder="1" applyAlignment="1">
      <alignment horizontal="center"/>
    </xf>
    <xf numFmtId="3" fontId="4" fillId="42" borderId="15" xfId="0" applyNumberFormat="1" applyFont="1" applyFill="1" applyBorder="1" applyAlignment="1">
      <alignment horizontal="center"/>
    </xf>
    <xf numFmtId="1" fontId="2" fillId="42" borderId="19" xfId="0" applyNumberFormat="1" applyFont="1" applyFill="1" applyBorder="1" applyAlignment="1">
      <alignment horizontal="center"/>
    </xf>
    <xf numFmtId="1" fontId="4" fillId="42" borderId="15" xfId="0" applyNumberFormat="1" applyFont="1" applyFill="1" applyBorder="1" applyAlignment="1">
      <alignment horizontal="center"/>
    </xf>
    <xf numFmtId="1" fontId="2" fillId="42" borderId="52" xfId="0" applyNumberFormat="1" applyFont="1" applyFill="1" applyBorder="1" applyAlignment="1">
      <alignment horizontal="center"/>
    </xf>
    <xf numFmtId="1" fontId="2" fillId="42" borderId="48" xfId="0" applyNumberFormat="1" applyFont="1" applyFill="1" applyBorder="1" applyAlignment="1">
      <alignment horizontal="center"/>
    </xf>
    <xf numFmtId="1" fontId="2" fillId="42" borderId="27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0" fontId="2" fillId="0" borderId="53" xfId="0" applyNumberFormat="1" applyFont="1" applyBorder="1" applyAlignment="1">
      <alignment horizontal="center"/>
    </xf>
    <xf numFmtId="20" fontId="2" fillId="0" borderId="54" xfId="0" applyNumberFormat="1" applyFont="1" applyBorder="1" applyAlignment="1">
      <alignment horizontal="center"/>
    </xf>
    <xf numFmtId="20" fontId="2" fillId="0" borderId="55" xfId="0" applyNumberFormat="1" applyFont="1" applyBorder="1" applyAlignment="1">
      <alignment horizontal="center"/>
    </xf>
    <xf numFmtId="1" fontId="2" fillId="0" borderId="11" xfId="44" applyNumberFormat="1" applyFont="1" applyFill="1" applyBorder="1" applyAlignment="1" applyProtection="1">
      <alignment horizontal="center"/>
      <protection/>
    </xf>
    <xf numFmtId="2" fontId="2" fillId="34" borderId="56" xfId="0" applyNumberFormat="1" applyFont="1" applyFill="1" applyBorder="1" applyAlignment="1">
      <alignment horizontal="center" wrapText="1"/>
    </xf>
    <xf numFmtId="166" fontId="2" fillId="0" borderId="26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70" fontId="2" fillId="0" borderId="26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" fontId="2" fillId="0" borderId="26" xfId="44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3" fontId="2" fillId="0" borderId="57" xfId="0" applyNumberFormat="1" applyFont="1" applyBorder="1" applyAlignment="1">
      <alignment horizontal="center"/>
    </xf>
    <xf numFmtId="1" fontId="2" fillId="0" borderId="57" xfId="0" applyNumberFormat="1" applyFont="1" applyBorder="1" applyAlignment="1">
      <alignment horizontal="center"/>
    </xf>
    <xf numFmtId="1" fontId="2" fillId="0" borderId="57" xfId="0" applyNumberFormat="1" applyFont="1" applyFill="1" applyBorder="1" applyAlignment="1">
      <alignment horizontal="center"/>
    </xf>
    <xf numFmtId="166" fontId="2" fillId="0" borderId="58" xfId="0" applyNumberFormat="1" applyFont="1" applyBorder="1" applyAlignment="1">
      <alignment horizontal="center"/>
    </xf>
    <xf numFmtId="170" fontId="2" fillId="0" borderId="58" xfId="0" applyNumberFormat="1" applyFont="1" applyBorder="1" applyAlignment="1">
      <alignment horizontal="center"/>
    </xf>
    <xf numFmtId="2" fontId="2" fillId="34" borderId="59" xfId="0" applyNumberFormat="1" applyFont="1" applyFill="1" applyBorder="1" applyAlignment="1">
      <alignment horizontal="center" wrapText="1"/>
    </xf>
    <xf numFmtId="2" fontId="2" fillId="0" borderId="58" xfId="0" applyNumberFormat="1" applyFont="1" applyBorder="1" applyAlignment="1">
      <alignment horizontal="center"/>
    </xf>
    <xf numFmtId="3" fontId="2" fillId="0" borderId="60" xfId="0" applyNumberFormat="1" applyFont="1" applyBorder="1" applyAlignment="1">
      <alignment horizontal="center"/>
    </xf>
    <xf numFmtId="1" fontId="3" fillId="37" borderId="56" xfId="0" applyNumberFormat="1" applyFont="1" applyFill="1" applyBorder="1" applyAlignment="1">
      <alignment horizontal="center" wrapText="1"/>
    </xf>
    <xf numFmtId="1" fontId="3" fillId="37" borderId="59" xfId="0" applyNumberFormat="1" applyFont="1" applyFill="1" applyBorder="1" applyAlignment="1">
      <alignment horizontal="center" wrapText="1"/>
    </xf>
    <xf numFmtId="0" fontId="4" fillId="35" borderId="61" xfId="0" applyFont="1" applyFill="1" applyBorder="1" applyAlignment="1">
      <alignment horizontal="center" wrapText="1"/>
    </xf>
    <xf numFmtId="0" fontId="4" fillId="0" borderId="62" xfId="0" applyFont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5" fontId="1" fillId="0" borderId="0" xfId="44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 vertical="top" wrapText="1"/>
    </xf>
    <xf numFmtId="166" fontId="1" fillId="0" borderId="0" xfId="0" applyNumberFormat="1" applyFont="1" applyBorder="1" applyAlignment="1">
      <alignment horizontal="center"/>
    </xf>
    <xf numFmtId="170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2" fontId="2" fillId="34" borderId="6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6" fontId="2" fillId="0" borderId="52" xfId="0" applyNumberFormat="1" applyFont="1" applyBorder="1" applyAlignment="1">
      <alignment horizontal="center"/>
    </xf>
    <xf numFmtId="1" fontId="2" fillId="0" borderId="52" xfId="0" applyNumberFormat="1" applyFont="1" applyBorder="1" applyAlignment="1">
      <alignment horizontal="center"/>
    </xf>
    <xf numFmtId="170" fontId="2" fillId="0" borderId="52" xfId="0" applyNumberFormat="1" applyFont="1" applyBorder="1" applyAlignment="1">
      <alignment horizontal="center"/>
    </xf>
    <xf numFmtId="0" fontId="0" fillId="0" borderId="52" xfId="0" applyBorder="1" applyAlignment="1">
      <alignment/>
    </xf>
    <xf numFmtId="1" fontId="2" fillId="0" borderId="64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0" fontId="2" fillId="0" borderId="52" xfId="0" applyNumberFormat="1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33" xfId="0" applyBorder="1" applyAlignment="1">
      <alignment/>
    </xf>
    <xf numFmtId="20" fontId="2" fillId="19" borderId="51" xfId="0" applyNumberFormat="1" applyFont="1" applyFill="1" applyBorder="1" applyAlignment="1">
      <alignment/>
    </xf>
    <xf numFmtId="2" fontId="2" fillId="0" borderId="19" xfId="0" applyNumberFormat="1" applyFont="1" applyFill="1" applyBorder="1" applyAlignment="1" applyProtection="1">
      <alignment horizontal="center"/>
      <protection/>
    </xf>
    <xf numFmtId="2" fontId="2" fillId="0" borderId="11" xfId="0" applyNumberFormat="1" applyFont="1" applyFill="1" applyBorder="1" applyAlignment="1" applyProtection="1">
      <alignment horizontal="center"/>
      <protection/>
    </xf>
    <xf numFmtId="2" fontId="4" fillId="0" borderId="15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47" xfId="0" applyNumberFormat="1" applyFont="1" applyFill="1" applyBorder="1" applyAlignment="1">
      <alignment horizontal="center"/>
    </xf>
    <xf numFmtId="2" fontId="2" fillId="0" borderId="48" xfId="0" applyNumberFormat="1" applyFont="1" applyFill="1" applyBorder="1" applyAlignment="1">
      <alignment horizontal="center"/>
    </xf>
    <xf numFmtId="2" fontId="2" fillId="43" borderId="19" xfId="0" applyNumberFormat="1" applyFont="1" applyFill="1" applyBorder="1" applyAlignment="1">
      <alignment horizontal="center"/>
    </xf>
    <xf numFmtId="2" fontId="2" fillId="0" borderId="11" xfId="44" applyNumberFormat="1" applyFont="1" applyFill="1" applyBorder="1" applyAlignment="1" applyProtection="1">
      <alignment horizontal="center"/>
      <protection/>
    </xf>
    <xf numFmtId="167" fontId="2" fillId="0" borderId="19" xfId="0" applyNumberFormat="1" applyFont="1" applyFill="1" applyBorder="1" applyAlignment="1" applyProtection="1">
      <alignment horizontal="center"/>
      <protection/>
    </xf>
    <xf numFmtId="167" fontId="4" fillId="0" borderId="15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3" fillId="35" borderId="15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2" fontId="2" fillId="33" borderId="19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2" fontId="2" fillId="0" borderId="52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2" fillId="17" borderId="11" xfId="0" applyNumberFormat="1" applyFont="1" applyFill="1" applyBorder="1" applyAlignment="1">
      <alignment horizontal="center" vertical="top" wrapText="1"/>
    </xf>
    <xf numFmtId="1" fontId="2" fillId="17" borderId="65" xfId="0" applyNumberFormat="1" applyFont="1" applyFill="1" applyBorder="1" applyAlignment="1">
      <alignment horizontal="center"/>
    </xf>
    <xf numFmtId="1" fontId="2" fillId="17" borderId="11" xfId="0" applyNumberFormat="1" applyFont="1" applyFill="1" applyBorder="1" applyAlignment="1">
      <alignment horizontal="center"/>
    </xf>
    <xf numFmtId="1" fontId="2" fillId="17" borderId="48" xfId="0" applyNumberFormat="1" applyFont="1" applyFill="1" applyBorder="1" applyAlignment="1">
      <alignment horizontal="center"/>
    </xf>
    <xf numFmtId="4" fontId="4" fillId="17" borderId="15" xfId="0" applyNumberFormat="1" applyFont="1" applyFill="1" applyBorder="1" applyAlignment="1">
      <alignment horizontal="center"/>
    </xf>
    <xf numFmtId="1" fontId="4" fillId="17" borderId="16" xfId="0" applyNumberFormat="1" applyFont="1" applyFill="1" applyBorder="1" applyAlignment="1">
      <alignment horizontal="center"/>
    </xf>
    <xf numFmtId="2" fontId="2" fillId="39" borderId="19" xfId="0" applyNumberFormat="1" applyFont="1" applyFill="1" applyBorder="1" applyAlignment="1">
      <alignment horizontal="center"/>
    </xf>
    <xf numFmtId="3" fontId="2" fillId="0" borderId="66" xfId="0" applyNumberFormat="1" applyFont="1" applyBorder="1" applyAlignment="1">
      <alignment horizontal="center"/>
    </xf>
    <xf numFmtId="3" fontId="2" fillId="0" borderId="55" xfId="0" applyNumberFormat="1" applyFont="1" applyBorder="1" applyAlignment="1">
      <alignment horizontal="center"/>
    </xf>
    <xf numFmtId="3" fontId="2" fillId="0" borderId="67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2" fillId="0" borderId="68" xfId="0" applyFont="1" applyBorder="1" applyAlignment="1">
      <alignment/>
    </xf>
    <xf numFmtId="0" fontId="4" fillId="0" borderId="58" xfId="0" applyFont="1" applyBorder="1" applyAlignment="1">
      <alignment horizontal="center"/>
    </xf>
    <xf numFmtId="2" fontId="2" fillId="43" borderId="26" xfId="0" applyNumberFormat="1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166" fontId="4" fillId="0" borderId="59" xfId="0" applyNumberFormat="1" applyFont="1" applyFill="1" applyBorder="1" applyAlignment="1">
      <alignment horizontal="center"/>
    </xf>
    <xf numFmtId="3" fontId="2" fillId="0" borderId="39" xfId="0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166" fontId="2" fillId="0" borderId="33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170" fontId="2" fillId="0" borderId="33" xfId="0" applyNumberFormat="1" applyFont="1" applyBorder="1" applyAlignment="1">
      <alignment horizontal="center"/>
    </xf>
    <xf numFmtId="3" fontId="2" fillId="0" borderId="69" xfId="0" applyNumberFormat="1" applyFont="1" applyBorder="1" applyAlignment="1">
      <alignment horizontal="center"/>
    </xf>
    <xf numFmtId="0" fontId="4" fillId="35" borderId="70" xfId="0" applyFont="1" applyFill="1" applyBorder="1" applyAlignment="1">
      <alignment horizontal="center" wrapText="1"/>
    </xf>
    <xf numFmtId="1" fontId="3" fillId="37" borderId="63" xfId="0" applyNumberFormat="1" applyFont="1" applyFill="1" applyBorder="1" applyAlignment="1">
      <alignment horizontal="center" wrapText="1"/>
    </xf>
    <xf numFmtId="1" fontId="2" fillId="42" borderId="33" xfId="0" applyNumberFormat="1" applyFont="1" applyFill="1" applyBorder="1" applyAlignment="1">
      <alignment horizontal="center"/>
    </xf>
    <xf numFmtId="1" fontId="2" fillId="42" borderId="26" xfId="0" applyNumberFormat="1" applyFont="1" applyFill="1" applyBorder="1" applyAlignment="1">
      <alignment horizontal="center"/>
    </xf>
    <xf numFmtId="1" fontId="76" fillId="42" borderId="58" xfId="0" applyNumberFormat="1" applyFont="1" applyFill="1" applyBorder="1" applyAlignment="1">
      <alignment horizontal="center"/>
    </xf>
    <xf numFmtId="1" fontId="4" fillId="15" borderId="15" xfId="0" applyNumberFormat="1" applyFont="1" applyFill="1" applyBorder="1" applyAlignment="1">
      <alignment horizontal="center"/>
    </xf>
    <xf numFmtId="1" fontId="4" fillId="15" borderId="16" xfId="0" applyNumberFormat="1" applyFont="1" applyFill="1" applyBorder="1" applyAlignment="1">
      <alignment horizontal="center"/>
    </xf>
    <xf numFmtId="3" fontId="4" fillId="15" borderId="15" xfId="0" applyNumberFormat="1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39" borderId="53" xfId="0" applyFont="1" applyFill="1" applyBorder="1" applyAlignment="1">
      <alignment horizontal="center"/>
    </xf>
    <xf numFmtId="0" fontId="0" fillId="39" borderId="54" xfId="0" applyFont="1" applyFill="1" applyBorder="1" applyAlignment="1">
      <alignment horizontal="center"/>
    </xf>
    <xf numFmtId="0" fontId="0" fillId="39" borderId="27" xfId="0" applyFon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0" fillId="39" borderId="28" xfId="0" applyFont="1" applyFill="1" applyBorder="1" applyAlignment="1">
      <alignment horizontal="center"/>
    </xf>
    <xf numFmtId="0" fontId="0" fillId="39" borderId="29" xfId="0" applyFont="1" applyFill="1" applyBorder="1" applyAlignment="1">
      <alignment horizontal="center"/>
    </xf>
    <xf numFmtId="0" fontId="0" fillId="39" borderId="30" xfId="0" applyFont="1" applyFill="1" applyBorder="1" applyAlignment="1">
      <alignment horizontal="center"/>
    </xf>
    <xf numFmtId="0" fontId="0" fillId="39" borderId="31" xfId="0" applyFont="1" applyFill="1" applyBorder="1" applyAlignment="1">
      <alignment horizontal="center"/>
    </xf>
    <xf numFmtId="166" fontId="0" fillId="39" borderId="27" xfId="0" applyNumberFormat="1" applyFont="1" applyFill="1" applyBorder="1" applyAlignment="1">
      <alignment horizontal="center"/>
    </xf>
    <xf numFmtId="166" fontId="0" fillId="39" borderId="0" xfId="0" applyNumberFormat="1" applyFont="1" applyFill="1" applyBorder="1" applyAlignment="1">
      <alignment horizontal="center"/>
    </xf>
    <xf numFmtId="166" fontId="0" fillId="39" borderId="28" xfId="0" applyNumberFormat="1" applyFont="1" applyFill="1" applyBorder="1" applyAlignment="1">
      <alignment horizontal="center"/>
    </xf>
    <xf numFmtId="166" fontId="0" fillId="39" borderId="55" xfId="0" applyNumberFormat="1" applyFont="1" applyFill="1" applyBorder="1" applyAlignment="1">
      <alignment horizontal="center"/>
    </xf>
    <xf numFmtId="166" fontId="0" fillId="39" borderId="31" xfId="0" applyNumberFormat="1" applyFont="1" applyFill="1" applyBorder="1" applyAlignment="1">
      <alignment horizontal="center"/>
    </xf>
    <xf numFmtId="0" fontId="0" fillId="13" borderId="53" xfId="0" applyFont="1" applyFill="1" applyBorder="1" applyAlignment="1">
      <alignment horizontal="center"/>
    </xf>
    <xf numFmtId="0" fontId="0" fillId="13" borderId="54" xfId="0" applyFont="1" applyFill="1" applyBorder="1" applyAlignment="1">
      <alignment horizontal="center"/>
    </xf>
    <xf numFmtId="0" fontId="0" fillId="13" borderId="55" xfId="0" applyFont="1" applyFill="1" applyBorder="1" applyAlignment="1">
      <alignment horizontal="center"/>
    </xf>
    <xf numFmtId="166" fontId="0" fillId="13" borderId="55" xfId="0" applyNumberFormat="1" applyFont="1" applyFill="1" applyBorder="1" applyAlignment="1">
      <alignment horizontal="center"/>
    </xf>
    <xf numFmtId="0" fontId="4" fillId="0" borderId="71" xfId="0" applyFont="1" applyBorder="1" applyAlignment="1">
      <alignment horizontal="center"/>
    </xf>
    <xf numFmtId="2" fontId="2" fillId="44" borderId="59" xfId="0" applyNumberFormat="1" applyFont="1" applyFill="1" applyBorder="1" applyAlignment="1">
      <alignment horizontal="center" wrapText="1"/>
    </xf>
    <xf numFmtId="2" fontId="2" fillId="44" borderId="63" xfId="0" applyNumberFormat="1" applyFont="1" applyFill="1" applyBorder="1" applyAlignment="1">
      <alignment horizontal="center" wrapText="1"/>
    </xf>
    <xf numFmtId="2" fontId="2" fillId="44" borderId="56" xfId="0" applyNumberFormat="1" applyFont="1" applyFill="1" applyBorder="1" applyAlignment="1">
      <alignment horizontal="center" wrapText="1"/>
    </xf>
    <xf numFmtId="0" fontId="9" fillId="0" borderId="26" xfId="0" applyFont="1" applyBorder="1" applyAlignment="1">
      <alignment horizont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166" fontId="3" fillId="35" borderId="26" xfId="0" applyNumberFormat="1" applyFont="1" applyFill="1" applyBorder="1" applyAlignment="1">
      <alignment horizontal="center" wrapText="1"/>
    </xf>
    <xf numFmtId="0" fontId="2" fillId="33" borderId="58" xfId="0" applyFont="1" applyFill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0" fontId="2" fillId="40" borderId="32" xfId="0" applyFont="1" applyFill="1" applyBorder="1" applyAlignment="1">
      <alignment horizontal="center"/>
    </xf>
    <xf numFmtId="0" fontId="2" fillId="38" borderId="74" xfId="0" applyFont="1" applyFill="1" applyBorder="1" applyAlignment="1">
      <alignment horizontal="center"/>
    </xf>
    <xf numFmtId="2" fontId="2" fillId="34" borderId="32" xfId="0" applyNumberFormat="1" applyFont="1" applyFill="1" applyBorder="1" applyAlignment="1">
      <alignment horizontal="center"/>
    </xf>
    <xf numFmtId="3" fontId="3" fillId="35" borderId="75" xfId="0" applyNumberFormat="1" applyFont="1" applyFill="1" applyBorder="1" applyAlignment="1">
      <alignment horizontal="center" wrapText="1"/>
    </xf>
    <xf numFmtId="2" fontId="2" fillId="34" borderId="74" xfId="0" applyNumberFormat="1" applyFont="1" applyFill="1" applyBorder="1" applyAlignment="1">
      <alignment horizontal="center"/>
    </xf>
    <xf numFmtId="2" fontId="2" fillId="34" borderId="76" xfId="0" applyNumberFormat="1" applyFont="1" applyFill="1" applyBorder="1" applyAlignment="1">
      <alignment horizontal="center" wrapText="1"/>
    </xf>
    <xf numFmtId="0" fontId="3" fillId="33" borderId="76" xfId="0" applyFont="1" applyFill="1" applyBorder="1" applyAlignment="1">
      <alignment horizontal="center"/>
    </xf>
    <xf numFmtId="0" fontId="3" fillId="33" borderId="77" xfId="0" applyFont="1" applyFill="1" applyBorder="1" applyAlignment="1">
      <alignment horizontal="center"/>
    </xf>
    <xf numFmtId="1" fontId="3" fillId="41" borderId="76" xfId="0" applyNumberFormat="1" applyFont="1" applyFill="1" applyBorder="1" applyAlignment="1">
      <alignment horizontal="center" wrapText="1"/>
    </xf>
    <xf numFmtId="3" fontId="3" fillId="35" borderId="78" xfId="0" applyNumberFormat="1" applyFont="1" applyFill="1" applyBorder="1" applyAlignment="1">
      <alignment horizontal="center" wrapText="1"/>
    </xf>
    <xf numFmtId="2" fontId="2" fillId="34" borderId="77" xfId="0" applyNumberFormat="1" applyFont="1" applyFill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2" fontId="2" fillId="34" borderId="32" xfId="0" applyNumberFormat="1" applyFont="1" applyFill="1" applyBorder="1" applyAlignment="1">
      <alignment horizontal="center" wrapText="1"/>
    </xf>
    <xf numFmtId="1" fontId="3" fillId="41" borderId="32" xfId="0" applyNumberFormat="1" applyFont="1" applyFill="1" applyBorder="1" applyAlignment="1">
      <alignment horizontal="center" wrapText="1"/>
    </xf>
    <xf numFmtId="1" fontId="2" fillId="15" borderId="58" xfId="0" applyNumberFormat="1" applyFont="1" applyFill="1" applyBorder="1" applyAlignment="1">
      <alignment horizontal="center"/>
    </xf>
    <xf numFmtId="3" fontId="3" fillId="35" borderId="80" xfId="0" applyNumberFormat="1" applyFont="1" applyFill="1" applyBorder="1" applyAlignment="1">
      <alignment horizontal="center" wrapText="1"/>
    </xf>
    <xf numFmtId="1" fontId="1" fillId="0" borderId="68" xfId="0" applyNumberFormat="1" applyFont="1" applyBorder="1" applyAlignment="1">
      <alignment/>
    </xf>
    <xf numFmtId="166" fontId="1" fillId="0" borderId="68" xfId="0" applyNumberFormat="1" applyFont="1" applyBorder="1" applyAlignment="1">
      <alignment/>
    </xf>
    <xf numFmtId="2" fontId="1" fillId="0" borderId="68" xfId="0" applyNumberFormat="1" applyFont="1" applyBorder="1" applyAlignment="1">
      <alignment/>
    </xf>
    <xf numFmtId="166" fontId="1" fillId="0" borderId="81" xfId="0" applyNumberFormat="1" applyFont="1" applyFill="1" applyBorder="1" applyAlignment="1">
      <alignment/>
    </xf>
    <xf numFmtId="0" fontId="2" fillId="40" borderId="76" xfId="0" applyFont="1" applyFill="1" applyBorder="1" applyAlignment="1">
      <alignment horizontal="center"/>
    </xf>
    <xf numFmtId="0" fontId="2" fillId="38" borderId="76" xfId="0" applyFont="1" applyFill="1" applyBorder="1" applyAlignment="1">
      <alignment horizontal="center"/>
    </xf>
    <xf numFmtId="1" fontId="1" fillId="0" borderId="82" xfId="0" applyNumberFormat="1" applyFont="1" applyBorder="1" applyAlignment="1">
      <alignment/>
    </xf>
    <xf numFmtId="0" fontId="0" fillId="0" borderId="68" xfId="0" applyBorder="1" applyAlignment="1">
      <alignment/>
    </xf>
    <xf numFmtId="2" fontId="2" fillId="0" borderId="68" xfId="0" applyNumberFormat="1" applyFont="1" applyFill="1" applyBorder="1" applyAlignment="1">
      <alignment horizontal="center"/>
    </xf>
    <xf numFmtId="2" fontId="9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" fillId="45" borderId="26" xfId="0" applyFont="1" applyFill="1" applyBorder="1" applyAlignment="1">
      <alignment horizontal="center"/>
    </xf>
    <xf numFmtId="0" fontId="2" fillId="40" borderId="26" xfId="0" applyFont="1" applyFill="1" applyBorder="1" applyAlignment="1">
      <alignment horizontal="center"/>
    </xf>
    <xf numFmtId="0" fontId="2" fillId="38" borderId="26" xfId="0" applyFont="1" applyFill="1" applyBorder="1" applyAlignment="1">
      <alignment horizontal="center"/>
    </xf>
    <xf numFmtId="0" fontId="2" fillId="40" borderId="33" xfId="0" applyFont="1" applyFill="1" applyBorder="1" applyAlignment="1">
      <alignment horizontal="center"/>
    </xf>
    <xf numFmtId="0" fontId="2" fillId="38" borderId="33" xfId="0" applyFont="1" applyFill="1" applyBorder="1" applyAlignment="1">
      <alignment horizontal="center"/>
    </xf>
    <xf numFmtId="2" fontId="2" fillId="34" borderId="26" xfId="0" applyNumberFormat="1" applyFont="1" applyFill="1" applyBorder="1" applyAlignment="1">
      <alignment horizontal="center" wrapText="1"/>
    </xf>
    <xf numFmtId="2" fontId="2" fillId="34" borderId="33" xfId="0" applyNumberFormat="1" applyFont="1" applyFill="1" applyBorder="1" applyAlignment="1">
      <alignment horizontal="center" wrapText="1"/>
    </xf>
    <xf numFmtId="0" fontId="0" fillId="0" borderId="83" xfId="0" applyBorder="1" applyAlignment="1">
      <alignment/>
    </xf>
    <xf numFmtId="2" fontId="2" fillId="39" borderId="0" xfId="0" applyNumberFormat="1" applyFont="1" applyFill="1" applyAlignment="1">
      <alignment horizontal="center"/>
    </xf>
    <xf numFmtId="166" fontId="4" fillId="39" borderId="15" xfId="0" applyNumberFormat="1" applyFont="1" applyFill="1" applyBorder="1" applyAlignment="1">
      <alignment horizontal="center"/>
    </xf>
    <xf numFmtId="0" fontId="72" fillId="0" borderId="0" xfId="0" applyFont="1" applyAlignment="1">
      <alignment/>
    </xf>
    <xf numFmtId="0" fontId="7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6" fontId="72" fillId="0" borderId="0" xfId="0" applyNumberFormat="1" applyFont="1" applyAlignment="1">
      <alignment horizontal="center"/>
    </xf>
    <xf numFmtId="0" fontId="72" fillId="0" borderId="52" xfId="0" applyFont="1" applyBorder="1" applyAlignment="1">
      <alignment/>
    </xf>
    <xf numFmtId="0" fontId="56" fillId="0" borderId="51" xfId="0" applyFont="1" applyBorder="1" applyAlignment="1">
      <alignment/>
    </xf>
    <xf numFmtId="0" fontId="56" fillId="0" borderId="33" xfId="0" applyFont="1" applyBorder="1" applyAlignment="1">
      <alignment/>
    </xf>
    <xf numFmtId="166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0" fontId="72" fillId="0" borderId="0" xfId="0" applyFont="1" applyAlignment="1">
      <alignment horizontal="right"/>
    </xf>
    <xf numFmtId="0" fontId="72" fillId="0" borderId="53" xfId="0" applyFont="1" applyBorder="1" applyAlignment="1">
      <alignment horizontal="center"/>
    </xf>
    <xf numFmtId="0" fontId="72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72" fillId="0" borderId="26" xfId="0" applyFont="1" applyBorder="1" applyAlignment="1">
      <alignment/>
    </xf>
    <xf numFmtId="2" fontId="0" fillId="0" borderId="26" xfId="0" applyNumberFormat="1" applyBorder="1" applyAlignment="1">
      <alignment horizontal="center"/>
    </xf>
    <xf numFmtId="0" fontId="72" fillId="0" borderId="26" xfId="0" applyFont="1" applyBorder="1" applyAlignment="1">
      <alignment horizontal="right"/>
    </xf>
    <xf numFmtId="0" fontId="2" fillId="0" borderId="26" xfId="0" applyFont="1" applyBorder="1" applyAlignment="1">
      <alignment/>
    </xf>
    <xf numFmtId="0" fontId="0" fillId="0" borderId="26" xfId="0" applyBorder="1" applyAlignment="1">
      <alignment horizontal="left"/>
    </xf>
    <xf numFmtId="0" fontId="2" fillId="0" borderId="53" xfId="0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9" xfId="0" applyFont="1" applyBorder="1" applyAlignment="1">
      <alignment/>
    </xf>
    <xf numFmtId="0" fontId="2" fillId="0" borderId="52" xfId="0" applyFont="1" applyBorder="1" applyAlignment="1">
      <alignment/>
    </xf>
    <xf numFmtId="49" fontId="2" fillId="0" borderId="26" xfId="0" applyNumberFormat="1" applyFont="1" applyBorder="1" applyAlignment="1">
      <alignment horizontal="center"/>
    </xf>
    <xf numFmtId="0" fontId="0" fillId="46" borderId="0" xfId="0" applyFill="1" applyAlignment="1">
      <alignment/>
    </xf>
    <xf numFmtId="0" fontId="72" fillId="39" borderId="0" xfId="0" applyFont="1" applyFill="1" applyAlignment="1">
      <alignment/>
    </xf>
    <xf numFmtId="0" fontId="72" fillId="39" borderId="0" xfId="0" applyFont="1" applyFill="1" applyAlignment="1">
      <alignment horizontal="center"/>
    </xf>
    <xf numFmtId="0" fontId="2" fillId="39" borderId="0" xfId="0" applyFont="1" applyFill="1" applyAlignment="1">
      <alignment horizontal="center"/>
    </xf>
    <xf numFmtId="0" fontId="0" fillId="39" borderId="0" xfId="0" applyFill="1" applyAlignment="1">
      <alignment horizontal="center"/>
    </xf>
    <xf numFmtId="0" fontId="0" fillId="39" borderId="0" xfId="0" applyFont="1" applyFill="1" applyAlignment="1">
      <alignment horizontal="center"/>
    </xf>
    <xf numFmtId="166" fontId="72" fillId="39" borderId="0" xfId="0" applyNumberFormat="1" applyFont="1" applyFill="1" applyAlignment="1">
      <alignment horizontal="center"/>
    </xf>
    <xf numFmtId="0" fontId="0" fillId="39" borderId="0" xfId="0" applyFill="1" applyAlignment="1">
      <alignment/>
    </xf>
    <xf numFmtId="0" fontId="72" fillId="46" borderId="53" xfId="0" applyFont="1" applyFill="1" applyBorder="1" applyAlignment="1">
      <alignment/>
    </xf>
    <xf numFmtId="0" fontId="72" fillId="46" borderId="54" xfId="0" applyFont="1" applyFill="1" applyBorder="1" applyAlignment="1">
      <alignment horizontal="center"/>
    </xf>
    <xf numFmtId="0" fontId="0" fillId="46" borderId="55" xfId="0" applyFill="1" applyBorder="1" applyAlignment="1">
      <alignment/>
    </xf>
    <xf numFmtId="0" fontId="56" fillId="46" borderId="27" xfId="0" applyFont="1" applyFill="1" applyBorder="1" applyAlignment="1">
      <alignment/>
    </xf>
    <xf numFmtId="0" fontId="72" fillId="46" borderId="0" xfId="0" applyFont="1" applyFill="1" applyBorder="1" applyAlignment="1">
      <alignment horizontal="center"/>
    </xf>
    <xf numFmtId="0" fontId="0" fillId="46" borderId="28" xfId="0" applyFill="1" applyBorder="1" applyAlignment="1">
      <alignment/>
    </xf>
    <xf numFmtId="165" fontId="77" fillId="0" borderId="0" xfId="44" applyNumberFormat="1" applyFont="1" applyFill="1" applyBorder="1" applyAlignment="1" applyProtection="1">
      <alignment/>
      <protection/>
    </xf>
    <xf numFmtId="1" fontId="14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2" fontId="14" fillId="0" borderId="0" xfId="0" applyNumberFormat="1" applyFont="1" applyBorder="1" applyAlignment="1">
      <alignment/>
    </xf>
    <xf numFmtId="166" fontId="14" fillId="0" borderId="0" xfId="0" applyNumberFormat="1" applyFont="1" applyFill="1" applyAlignment="1">
      <alignment/>
    </xf>
    <xf numFmtId="2" fontId="14" fillId="0" borderId="0" xfId="0" applyNumberFormat="1" applyFont="1" applyFill="1" applyAlignment="1">
      <alignment horizontal="center"/>
    </xf>
    <xf numFmtId="1" fontId="14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2" fillId="0" borderId="53" xfId="0" applyFont="1" applyBorder="1" applyAlignment="1">
      <alignment horizontal="left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29" xfId="0" applyBorder="1" applyAlignment="1">
      <alignment horizontal="left"/>
    </xf>
    <xf numFmtId="0" fontId="2" fillId="0" borderId="52" xfId="0" applyFont="1" applyBorder="1" applyAlignment="1">
      <alignment horizontal="left"/>
    </xf>
    <xf numFmtId="0" fontId="0" fillId="0" borderId="33" xfId="0" applyBorder="1" applyAlignment="1">
      <alignment horizontal="left"/>
    </xf>
    <xf numFmtId="165" fontId="2" fillId="0" borderId="0" xfId="44" applyNumberFormat="1" applyFont="1" applyFill="1" applyBorder="1" applyAlignment="1" applyProtection="1">
      <alignment/>
      <protection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0" fillId="39" borderId="86" xfId="0" applyFill="1" applyBorder="1" applyAlignment="1">
      <alignment vertical="center" wrapText="1"/>
    </xf>
    <xf numFmtId="0" fontId="0" fillId="39" borderId="84" xfId="0" applyFill="1" applyBorder="1" applyAlignment="1">
      <alignment vertical="center" wrapText="1"/>
    </xf>
    <xf numFmtId="0" fontId="0" fillId="0" borderId="26" xfId="0" applyFill="1" applyBorder="1" applyAlignment="1">
      <alignment horizontal="left"/>
    </xf>
    <xf numFmtId="0" fontId="0" fillId="39" borderId="88" xfId="0" applyFill="1" applyBorder="1" applyAlignment="1">
      <alignment vertical="center" wrapText="1"/>
    </xf>
    <xf numFmtId="0" fontId="9" fillId="0" borderId="88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0" fillId="39" borderId="72" xfId="0" applyFill="1" applyBorder="1" applyAlignment="1">
      <alignment vertical="center" wrapText="1"/>
    </xf>
    <xf numFmtId="0" fontId="1" fillId="0" borderId="84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0" fillId="39" borderId="90" xfId="0" applyFill="1" applyBorder="1" applyAlignment="1">
      <alignment vertical="center" wrapText="1"/>
    </xf>
    <xf numFmtId="0" fontId="9" fillId="0" borderId="91" xfId="0" applyFont="1" applyBorder="1" applyAlignment="1">
      <alignment horizontal="center" vertical="center"/>
    </xf>
    <xf numFmtId="0" fontId="0" fillId="46" borderId="0" xfId="0" applyFont="1" applyFill="1" applyBorder="1" applyAlignment="1">
      <alignment horizontal="left" vertical="center"/>
    </xf>
    <xf numFmtId="0" fontId="17" fillId="0" borderId="90" xfId="0" applyFont="1" applyFill="1" applyBorder="1" applyAlignment="1">
      <alignment horizontal="center" vertical="center"/>
    </xf>
    <xf numFmtId="0" fontId="17" fillId="0" borderId="91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26" xfId="0" applyFont="1" applyBorder="1" applyAlignment="1">
      <alignment horizontal="left"/>
    </xf>
    <xf numFmtId="2" fontId="2" fillId="34" borderId="26" xfId="0" applyNumberFormat="1" applyFont="1" applyFill="1" applyBorder="1" applyAlignment="1">
      <alignment horizontal="center"/>
    </xf>
    <xf numFmtId="2" fontId="2" fillId="44" borderId="26" xfId="0" applyNumberFormat="1" applyFont="1" applyFill="1" applyBorder="1" applyAlignment="1">
      <alignment horizontal="center"/>
    </xf>
    <xf numFmtId="0" fontId="2" fillId="47" borderId="26" xfId="0" applyFont="1" applyFill="1" applyBorder="1" applyAlignment="1">
      <alignment horizontal="center"/>
    </xf>
    <xf numFmtId="2" fontId="2" fillId="44" borderId="26" xfId="0" applyNumberFormat="1" applyFont="1" applyFill="1" applyBorder="1" applyAlignment="1">
      <alignment horizontal="center" wrapText="1"/>
    </xf>
    <xf numFmtId="2" fontId="2" fillId="34" borderId="58" xfId="0" applyNumberFormat="1" applyFont="1" applyFill="1" applyBorder="1" applyAlignment="1">
      <alignment horizontal="center" wrapText="1"/>
    </xf>
    <xf numFmtId="2" fontId="2" fillId="44" borderId="58" xfId="0" applyNumberFormat="1" applyFont="1" applyFill="1" applyBorder="1" applyAlignment="1">
      <alignment horizontal="center" wrapText="1"/>
    </xf>
    <xf numFmtId="2" fontId="9" fillId="0" borderId="33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2" fontId="2" fillId="44" borderId="58" xfId="0" applyNumberFormat="1" applyFont="1" applyFill="1" applyBorder="1" applyAlignment="1">
      <alignment horizontal="center"/>
    </xf>
    <xf numFmtId="0" fontId="78" fillId="46" borderId="53" xfId="0" applyFont="1" applyFill="1" applyBorder="1" applyAlignment="1">
      <alignment/>
    </xf>
    <xf numFmtId="0" fontId="78" fillId="46" borderId="52" xfId="0" applyFont="1" applyFill="1" applyBorder="1" applyAlignment="1">
      <alignment/>
    </xf>
    <xf numFmtId="0" fontId="78" fillId="46" borderId="54" xfId="0" applyFont="1" applyFill="1" applyBorder="1" applyAlignment="1">
      <alignment/>
    </xf>
    <xf numFmtId="0" fontId="0" fillId="46" borderId="54" xfId="0" applyFill="1" applyBorder="1" applyAlignment="1">
      <alignment/>
    </xf>
    <xf numFmtId="0" fontId="0" fillId="46" borderId="27" xfId="0" applyFill="1" applyBorder="1" applyAlignment="1">
      <alignment/>
    </xf>
    <xf numFmtId="0" fontId="0" fillId="46" borderId="51" xfId="0" applyFill="1" applyBorder="1" applyAlignment="1">
      <alignment/>
    </xf>
    <xf numFmtId="0" fontId="0" fillId="46" borderId="0" xfId="0" applyFill="1" applyBorder="1" applyAlignment="1">
      <alignment/>
    </xf>
    <xf numFmtId="0" fontId="2" fillId="46" borderId="29" xfId="0" applyFont="1" applyFill="1" applyBorder="1" applyAlignment="1">
      <alignment/>
    </xf>
    <xf numFmtId="0" fontId="2" fillId="46" borderId="33" xfId="0" applyFont="1" applyFill="1" applyBorder="1" applyAlignment="1">
      <alignment/>
    </xf>
    <xf numFmtId="0" fontId="3" fillId="46" borderId="30" xfId="0" applyFont="1" applyFill="1" applyBorder="1" applyAlignment="1">
      <alignment/>
    </xf>
    <xf numFmtId="0" fontId="0" fillId="46" borderId="30" xfId="0" applyFill="1" applyBorder="1" applyAlignment="1">
      <alignment/>
    </xf>
    <xf numFmtId="0" fontId="0" fillId="46" borderId="31" xfId="0" applyFill="1" applyBorder="1" applyAlignment="1">
      <alignment/>
    </xf>
    <xf numFmtId="0" fontId="2" fillId="46" borderId="92" xfId="0" applyFont="1" applyFill="1" applyBorder="1" applyAlignment="1">
      <alignment/>
    </xf>
    <xf numFmtId="0" fontId="2" fillId="46" borderId="26" xfId="0" applyFont="1" applyFill="1" applyBorder="1" applyAlignment="1">
      <alignment/>
    </xf>
    <xf numFmtId="0" fontId="3" fillId="46" borderId="93" xfId="0" applyFont="1" applyFill="1" applyBorder="1" applyAlignment="1">
      <alignment/>
    </xf>
    <xf numFmtId="0" fontId="0" fillId="46" borderId="93" xfId="0" applyFill="1" applyBorder="1" applyAlignment="1">
      <alignment/>
    </xf>
    <xf numFmtId="0" fontId="0" fillId="46" borderId="66" xfId="0" applyFill="1" applyBorder="1" applyAlignment="1">
      <alignment/>
    </xf>
    <xf numFmtId="0" fontId="0" fillId="48" borderId="54" xfId="0" applyFill="1" applyBorder="1" applyAlignment="1">
      <alignment vertical="top"/>
    </xf>
    <xf numFmtId="0" fontId="0" fillId="48" borderId="55" xfId="0" applyFill="1" applyBorder="1" applyAlignment="1">
      <alignment vertical="top"/>
    </xf>
    <xf numFmtId="0" fontId="0" fillId="48" borderId="27" xfId="0" applyFill="1" applyBorder="1" applyAlignment="1">
      <alignment vertical="top"/>
    </xf>
    <xf numFmtId="0" fontId="0" fillId="48" borderId="51" xfId="0" applyFill="1" applyBorder="1" applyAlignment="1">
      <alignment vertical="top"/>
    </xf>
    <xf numFmtId="0" fontId="0" fillId="48" borderId="0" xfId="0" applyFill="1" applyBorder="1" applyAlignment="1">
      <alignment vertical="top"/>
    </xf>
    <xf numFmtId="0" fontId="0" fillId="48" borderId="28" xfId="0" applyFill="1" applyBorder="1" applyAlignment="1">
      <alignment vertical="top"/>
    </xf>
    <xf numFmtId="0" fontId="2" fillId="48" borderId="26" xfId="0" applyFont="1" applyFill="1" applyBorder="1" applyAlignment="1">
      <alignment vertical="top"/>
    </xf>
    <xf numFmtId="0" fontId="3" fillId="48" borderId="26" xfId="0" applyFont="1" applyFill="1" applyBorder="1" applyAlignment="1">
      <alignment vertical="top" wrapText="1"/>
    </xf>
    <xf numFmtId="0" fontId="79" fillId="48" borderId="92" xfId="0" applyFont="1" applyFill="1" applyBorder="1" applyAlignment="1">
      <alignment vertical="top"/>
    </xf>
    <xf numFmtId="0" fontId="0" fillId="48" borderId="93" xfId="0" applyFill="1" applyBorder="1" applyAlignment="1">
      <alignment vertical="top"/>
    </xf>
    <xf numFmtId="0" fontId="0" fillId="48" borderId="66" xfId="0" applyFill="1" applyBorder="1" applyAlignment="1">
      <alignment vertical="top"/>
    </xf>
    <xf numFmtId="0" fontId="2" fillId="48" borderId="29" xfId="0" applyFont="1" applyFill="1" applyBorder="1" applyAlignment="1">
      <alignment vertical="top"/>
    </xf>
    <xf numFmtId="0" fontId="3" fillId="48" borderId="33" xfId="0" applyFont="1" applyFill="1" applyBorder="1" applyAlignment="1">
      <alignment vertical="top" wrapText="1"/>
    </xf>
    <xf numFmtId="0" fontId="79" fillId="48" borderId="30" xfId="0" applyFont="1" applyFill="1" applyBorder="1" applyAlignment="1">
      <alignment vertical="top"/>
    </xf>
    <xf numFmtId="0" fontId="0" fillId="48" borderId="30" xfId="0" applyFill="1" applyBorder="1" applyAlignment="1">
      <alignment vertical="top"/>
    </xf>
    <xf numFmtId="0" fontId="0" fillId="48" borderId="31" xfId="0" applyFill="1" applyBorder="1" applyAlignment="1">
      <alignment vertical="top"/>
    </xf>
    <xf numFmtId="0" fontId="80" fillId="48" borderId="53" xfId="0" applyFont="1" applyFill="1" applyBorder="1" applyAlignment="1">
      <alignment vertical="top"/>
    </xf>
    <xf numFmtId="0" fontId="80" fillId="48" borderId="52" xfId="0" applyFont="1" applyFill="1" applyBorder="1" applyAlignment="1">
      <alignment vertical="top"/>
    </xf>
    <xf numFmtId="0" fontId="80" fillId="48" borderId="54" xfId="0" applyFont="1" applyFill="1" applyBorder="1" applyAlignment="1">
      <alignment vertical="top"/>
    </xf>
    <xf numFmtId="2" fontId="75" fillId="39" borderId="32" xfId="0" applyNumberFormat="1" applyFont="1" applyFill="1" applyBorder="1" applyAlignment="1">
      <alignment horizontal="center" vertical="center"/>
    </xf>
    <xf numFmtId="2" fontId="2" fillId="39" borderId="11" xfId="0" applyNumberFormat="1" applyFont="1" applyFill="1" applyBorder="1" applyAlignment="1">
      <alignment horizontal="center"/>
    </xf>
    <xf numFmtId="166" fontId="2" fillId="39" borderId="19" xfId="0" applyNumberFormat="1" applyFont="1" applyFill="1" applyBorder="1" applyAlignment="1">
      <alignment horizontal="center"/>
    </xf>
    <xf numFmtId="166" fontId="2" fillId="39" borderId="11" xfId="0" applyNumberFormat="1" applyFont="1" applyFill="1" applyBorder="1" applyAlignment="1">
      <alignment horizontal="center"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81" fillId="0" borderId="96" xfId="0" applyFont="1" applyBorder="1" applyAlignment="1">
      <alignment/>
    </xf>
    <xf numFmtId="0" fontId="0" fillId="0" borderId="97" xfId="0" applyBorder="1" applyAlignment="1">
      <alignment/>
    </xf>
    <xf numFmtId="0" fontId="81" fillId="0" borderId="98" xfId="0" applyFont="1" applyBorder="1" applyAlignment="1">
      <alignment/>
    </xf>
    <xf numFmtId="0" fontId="0" fillId="0" borderId="99" xfId="0" applyBorder="1" applyAlignment="1">
      <alignment/>
    </xf>
    <xf numFmtId="2" fontId="0" fillId="0" borderId="99" xfId="0" applyNumberFormat="1" applyBorder="1" applyAlignment="1">
      <alignment/>
    </xf>
    <xf numFmtId="0" fontId="0" fillId="0" borderId="100" xfId="0" applyBorder="1" applyAlignment="1">
      <alignment/>
    </xf>
    <xf numFmtId="0" fontId="80" fillId="49" borderId="0" xfId="0" applyFont="1" applyFill="1" applyBorder="1" applyAlignment="1">
      <alignment/>
    </xf>
    <xf numFmtId="0" fontId="82" fillId="49" borderId="96" xfId="0" applyFont="1" applyFill="1" applyBorder="1" applyAlignment="1">
      <alignment/>
    </xf>
    <xf numFmtId="0" fontId="82" fillId="49" borderId="0" xfId="0" applyFont="1" applyFill="1" applyBorder="1" applyAlignment="1">
      <alignment/>
    </xf>
    <xf numFmtId="2" fontId="82" fillId="49" borderId="101" xfId="0" applyNumberFormat="1" applyFont="1" applyFill="1" applyBorder="1" applyAlignment="1">
      <alignment/>
    </xf>
    <xf numFmtId="0" fontId="82" fillId="49" borderId="101" xfId="0" applyFont="1" applyFill="1" applyBorder="1" applyAlignment="1">
      <alignment/>
    </xf>
    <xf numFmtId="0" fontId="82" fillId="49" borderId="0" xfId="0" applyFont="1" applyFill="1" applyAlignment="1">
      <alignment/>
    </xf>
    <xf numFmtId="0" fontId="80" fillId="49" borderId="102" xfId="0" applyFont="1" applyFill="1" applyBorder="1" applyAlignment="1">
      <alignment/>
    </xf>
    <xf numFmtId="0" fontId="82" fillId="49" borderId="95" xfId="0" applyFont="1" applyFill="1" applyBorder="1" applyAlignment="1">
      <alignment/>
    </xf>
    <xf numFmtId="2" fontId="82" fillId="49" borderId="95" xfId="0" applyNumberFormat="1" applyFont="1" applyFill="1" applyBorder="1" applyAlignment="1">
      <alignment/>
    </xf>
    <xf numFmtId="2" fontId="2" fillId="43" borderId="19" xfId="0" applyNumberFormat="1" applyFont="1" applyFill="1" applyBorder="1" applyAlignment="1" applyProtection="1">
      <alignment horizontal="center"/>
      <protection/>
    </xf>
    <xf numFmtId="2" fontId="2" fillId="44" borderId="10" xfId="0" applyNumberFormat="1" applyFont="1" applyFill="1" applyBorder="1" applyAlignment="1">
      <alignment horizontal="center" wrapText="1"/>
    </xf>
    <xf numFmtId="2" fontId="2" fillId="44" borderId="103" xfId="0" applyNumberFormat="1" applyFont="1" applyFill="1" applyBorder="1" applyAlignment="1">
      <alignment horizontal="center" wrapText="1"/>
    </xf>
    <xf numFmtId="2" fontId="2" fillId="44" borderId="104" xfId="0" applyNumberFormat="1" applyFont="1" applyFill="1" applyBorder="1" applyAlignment="1">
      <alignment horizontal="center" wrapText="1"/>
    </xf>
    <xf numFmtId="0" fontId="2" fillId="33" borderId="52" xfId="0" applyFont="1" applyFill="1" applyBorder="1" applyAlignment="1">
      <alignment horizontal="center"/>
    </xf>
    <xf numFmtId="2" fontId="2" fillId="34" borderId="52" xfId="0" applyNumberFormat="1" applyFont="1" applyFill="1" applyBorder="1" applyAlignment="1">
      <alignment horizontal="center" wrapText="1"/>
    </xf>
    <xf numFmtId="2" fontId="2" fillId="50" borderId="63" xfId="0" applyNumberFormat="1" applyFont="1" applyFill="1" applyBorder="1" applyAlignment="1">
      <alignment horizontal="center" wrapText="1"/>
    </xf>
    <xf numFmtId="0" fontId="83" fillId="45" borderId="0" xfId="0" applyFont="1" applyFill="1" applyBorder="1" applyAlignment="1">
      <alignment horizontal="center"/>
    </xf>
    <xf numFmtId="0" fontId="83" fillId="45" borderId="0" xfId="0" applyFont="1" applyFill="1" applyAlignment="1">
      <alignment/>
    </xf>
    <xf numFmtId="0" fontId="0" fillId="45" borderId="0" xfId="0" applyFill="1" applyAlignment="1">
      <alignment/>
    </xf>
    <xf numFmtId="166" fontId="1" fillId="45" borderId="0" xfId="0" applyNumberFormat="1" applyFont="1" applyFill="1" applyAlignment="1">
      <alignment/>
    </xf>
    <xf numFmtId="0" fontId="9" fillId="45" borderId="0" xfId="0" applyFont="1" applyFill="1" applyBorder="1" applyAlignment="1">
      <alignment horizontal="center" vertical="center"/>
    </xf>
    <xf numFmtId="0" fontId="0" fillId="45" borderId="0" xfId="0" applyFill="1" applyAlignment="1">
      <alignment horizontal="center"/>
    </xf>
    <xf numFmtId="0" fontId="2" fillId="45" borderId="0" xfId="0" applyFont="1" applyFill="1" applyAlignment="1">
      <alignment horizontal="center"/>
    </xf>
    <xf numFmtId="0" fontId="0" fillId="16" borderId="0" xfId="0" applyFill="1" applyAlignment="1">
      <alignment horizontal="center"/>
    </xf>
    <xf numFmtId="0" fontId="0" fillId="16" borderId="0" xfId="0" applyFill="1" applyAlignment="1">
      <alignment/>
    </xf>
    <xf numFmtId="0" fontId="2" fillId="16" borderId="0" xfId="0" applyFont="1" applyFill="1" applyAlignment="1">
      <alignment horizontal="center"/>
    </xf>
    <xf numFmtId="0" fontId="1" fillId="16" borderId="0" xfId="0" applyFont="1" applyFill="1" applyAlignment="1">
      <alignment/>
    </xf>
    <xf numFmtId="0" fontId="9" fillId="0" borderId="0" xfId="0" applyFont="1" applyAlignment="1">
      <alignment horizontal="center"/>
    </xf>
    <xf numFmtId="2" fontId="2" fillId="44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4" fillId="0" borderId="105" xfId="0" applyFont="1" applyBorder="1" applyAlignment="1">
      <alignment horizontal="center"/>
    </xf>
    <xf numFmtId="165" fontId="84" fillId="0" borderId="0" xfId="44" applyNumberFormat="1" applyFont="1" applyFill="1" applyBorder="1" applyAlignment="1" applyProtection="1">
      <alignment/>
      <protection/>
    </xf>
    <xf numFmtId="0" fontId="0" fillId="17" borderId="0" xfId="0" applyFill="1" applyAlignment="1">
      <alignment/>
    </xf>
    <xf numFmtId="0" fontId="9" fillId="17" borderId="0" xfId="0" applyFont="1" applyFill="1" applyAlignment="1">
      <alignment/>
    </xf>
    <xf numFmtId="2" fontId="2" fillId="0" borderId="0" xfId="0" applyNumberFormat="1" applyFont="1" applyAlignment="1">
      <alignment horizontal="center"/>
    </xf>
    <xf numFmtId="0" fontId="0" fillId="16" borderId="26" xfId="0" applyFill="1" applyBorder="1" applyAlignment="1">
      <alignment/>
    </xf>
    <xf numFmtId="0" fontId="0" fillId="45" borderId="26" xfId="0" applyFill="1" applyBorder="1" applyAlignment="1">
      <alignment/>
    </xf>
    <xf numFmtId="0" fontId="2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46" borderId="0" xfId="0" applyFont="1" applyFill="1" applyAlignment="1">
      <alignment vertical="top" wrapText="1"/>
    </xf>
    <xf numFmtId="0" fontId="2" fillId="46" borderId="26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9" fillId="0" borderId="92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1" fillId="51" borderId="92" xfId="0" applyFont="1" applyFill="1" applyBorder="1" applyAlignment="1">
      <alignment/>
    </xf>
    <xf numFmtId="0" fontId="1" fillId="51" borderId="93" xfId="0" applyFont="1" applyFill="1" applyBorder="1" applyAlignment="1">
      <alignment/>
    </xf>
    <xf numFmtId="0" fontId="1" fillId="51" borderId="66" xfId="0" applyFont="1" applyFill="1" applyBorder="1" applyAlignment="1">
      <alignment/>
    </xf>
    <xf numFmtId="0" fontId="56" fillId="46" borderId="29" xfId="0" applyFont="1" applyFill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1" fillId="0" borderId="106" xfId="0" applyFont="1" applyFill="1" applyBorder="1" applyAlignment="1">
      <alignment horizontal="left" vertical="center" wrapText="1"/>
    </xf>
    <xf numFmtId="0" fontId="1" fillId="0" borderId="107" xfId="0" applyFont="1" applyFill="1" applyBorder="1" applyAlignment="1">
      <alignment horizontal="left" vertical="center" wrapText="1"/>
    </xf>
    <xf numFmtId="0" fontId="1" fillId="0" borderId="84" xfId="0" applyFont="1" applyFill="1" applyBorder="1" applyAlignment="1">
      <alignment horizontal="center" vertical="center"/>
    </xf>
    <xf numFmtId="0" fontId="1" fillId="0" borderId="9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3" fillId="46" borderId="92" xfId="0" applyFont="1" applyFill="1" applyBorder="1" applyAlignment="1">
      <alignment wrapText="1"/>
    </xf>
    <xf numFmtId="0" fontId="0" fillId="0" borderId="93" xfId="0" applyBorder="1" applyAlignment="1">
      <alignment/>
    </xf>
    <xf numFmtId="0" fontId="0" fillId="0" borderId="66" xfId="0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Domanda Biochimica di Ossigeno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 5 giorni (B.O.D.5)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4225"/>
          <c:y val="0.182"/>
          <c:w val="0.888"/>
          <c:h val="0.7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'pm2018-27-04-2018-risultati'!$E$75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('pm2018-27-04-2018-risultati'!$A$76:$A$81,'pm2018-27-04-2018-risultati'!$A$84)</c:f>
              <c:strCache/>
            </c:strRef>
          </c:cat>
          <c:val>
            <c:numRef>
              <c:f>('pm2018-27-04-2018-risultati'!$F$76:$F$81,'pm2018-27-04-2018-risultati'!$F$84)</c:f>
              <c:numCache/>
            </c:numRef>
          </c:val>
          <c:shape val="box"/>
        </c:ser>
        <c:shape val="box"/>
        <c:axId val="5146953"/>
        <c:axId val="46322578"/>
      </c:bar3DChart>
      <c:catAx>
        <c:axId val="5146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Stazioni di Rilevamento</a:t>
                </a:r>
              </a:p>
            </c:rich>
          </c:tx>
          <c:layout>
            <c:manualLayout>
              <c:xMode val="factor"/>
              <c:yMode val="factor"/>
              <c:x val="-0.017"/>
              <c:y val="0.05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22578"/>
        <c:crosses val="autoZero"/>
        <c:auto val="1"/>
        <c:lblOffset val="100"/>
        <c:tickLblSkip val="1"/>
        <c:noMultiLvlLbl val="0"/>
      </c:catAx>
      <c:valAx>
        <c:axId val="46322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495"/>
              <c:y val="0.03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69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05"/>
          <c:y val="0.551"/>
          <c:w val="0.043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Escherichia coli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12725"/>
          <c:y val="0.1535"/>
          <c:w val="0.8515"/>
          <c:h val="0.75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'pm2018-27-04-2018-risultati'!$A$76:$A$84</c:f>
              <c:strCache/>
            </c:strRef>
          </c:cat>
          <c:val>
            <c:numRef>
              <c:f>'pm2018-27-04-2018-risultati'!$C$76:$C$84</c:f>
              <c:numCache/>
            </c:numRef>
          </c:val>
          <c:shape val="box"/>
        </c:ser>
        <c:shape val="box"/>
        <c:axId val="14250019"/>
        <c:axId val="61141308"/>
      </c:bar3DChart>
      <c:catAx>
        <c:axId val="14250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Stazioni</a:t>
                </a:r>
              </a:p>
            </c:rich>
          </c:tx>
          <c:layout>
            <c:manualLayout>
              <c:xMode val="factor"/>
              <c:yMode val="factor"/>
              <c:x val="-0.0525"/>
              <c:y val="0.07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41308"/>
        <c:crosses val="autoZero"/>
        <c:auto val="1"/>
        <c:lblOffset val="100"/>
        <c:tickLblSkip val="1"/>
        <c:noMultiLvlLbl val="0"/>
      </c:catAx>
      <c:valAx>
        <c:axId val="611413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UFC/100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mL</a:t>
                </a:r>
              </a:p>
            </c:rich>
          </c:tx>
          <c:layout>
            <c:manualLayout>
              <c:xMode val="factor"/>
              <c:yMode val="factor"/>
              <c:x val="-0.097"/>
              <c:y val="0.0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5001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Ossigeno Disciolto</a:t>
            </a:r>
          </a:p>
        </c:rich>
      </c:tx>
      <c:layout>
        <c:manualLayout>
          <c:xMode val="factor"/>
          <c:yMode val="factor"/>
          <c:x val="-0.002"/>
          <c:y val="-0.0092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9675"/>
          <c:y val="0.15725"/>
          <c:w val="0.88025"/>
          <c:h val="0.747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'pm2018-27-04-2018-risultati'!$A$76:$A$84</c:f>
              <c:strCache/>
            </c:strRef>
          </c:cat>
          <c:val>
            <c:numRef>
              <c:f>'pm2018-27-04-2018-risultati'!$D$76:$D$84</c:f>
              <c:numCache/>
            </c:numRef>
          </c:val>
          <c:shape val="box"/>
        </c:ser>
        <c:overlap val="100"/>
        <c:shape val="box"/>
        <c:axId val="13400861"/>
        <c:axId val="53498886"/>
      </c:bar3DChart>
      <c:catAx>
        <c:axId val="13400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Stazioni</a:t>
                </a:r>
              </a:p>
            </c:rich>
          </c:tx>
          <c:layout>
            <c:manualLayout>
              <c:xMode val="factor"/>
              <c:yMode val="factor"/>
              <c:x val="-0.03775"/>
              <c:y val="0.07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98886"/>
        <c:crosses val="autoZero"/>
        <c:auto val="1"/>
        <c:lblOffset val="100"/>
        <c:tickLblSkip val="1"/>
        <c:noMultiLvlLbl val="0"/>
      </c:catAx>
      <c:valAx>
        <c:axId val="534988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86"/>
              <c:y val="0.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0086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Ossigeno % sat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485"/>
          <c:y val="0.16325"/>
          <c:w val="0.932"/>
          <c:h val="0.737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'pm2018-27-04-2018-risultati'!$A$76:$A$84</c:f>
              <c:strCache/>
            </c:strRef>
          </c:cat>
          <c:val>
            <c:numRef>
              <c:f>'pm2018-27-04-2018-risultati'!$E$76:$E$84</c:f>
              <c:numCache/>
            </c:numRef>
          </c:val>
          <c:shape val="box"/>
        </c:ser>
        <c:overlap val="100"/>
        <c:shape val="box"/>
        <c:axId val="11727927"/>
        <c:axId val="38442480"/>
      </c:bar3DChart>
      <c:catAx>
        <c:axId val="11727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Stazioni</a:t>
                </a:r>
              </a:p>
            </c:rich>
          </c:tx>
          <c:layout>
            <c:manualLayout>
              <c:xMode val="factor"/>
              <c:yMode val="factor"/>
              <c:x val="-0.014"/>
              <c:y val="0.07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42480"/>
        <c:crosses val="autoZero"/>
        <c:auto val="1"/>
        <c:lblOffset val="100"/>
        <c:tickLblSkip val="1"/>
        <c:noMultiLvlLbl val="0"/>
      </c:catAx>
      <c:valAx>
        <c:axId val="384424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58"/>
              <c:y val="0.04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2792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BOD5</a:t>
            </a:r>
          </a:p>
        </c:rich>
      </c:tx>
      <c:layout>
        <c:manualLayout>
          <c:xMode val="factor"/>
          <c:yMode val="factor"/>
          <c:x val="-0.002"/>
          <c:y val="-0.01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8975"/>
          <c:y val="0.171"/>
          <c:w val="0.88875"/>
          <c:h val="0.725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'pm2018-27-04-2018-risultati'!$A$76:$A$84</c:f>
              <c:strCache/>
            </c:strRef>
          </c:cat>
          <c:val>
            <c:numRef>
              <c:f>'pm2018-27-04-2018-risultati'!$F$76:$F$84</c:f>
              <c:numCache/>
            </c:numRef>
          </c:val>
          <c:shape val="box"/>
        </c:ser>
        <c:overlap val="100"/>
        <c:shape val="box"/>
        <c:axId val="10438001"/>
        <c:axId val="26833146"/>
      </c:bar3DChart>
      <c:catAx>
        <c:axId val="10438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Stazioni</a:t>
                </a:r>
              </a:p>
            </c:rich>
          </c:tx>
          <c:layout>
            <c:manualLayout>
              <c:xMode val="factor"/>
              <c:yMode val="factor"/>
              <c:x val="-0.035"/>
              <c:y val="0.08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33146"/>
        <c:crosses val="autoZero"/>
        <c:auto val="1"/>
        <c:lblOffset val="100"/>
        <c:tickLblSkip val="1"/>
        <c:noMultiLvlLbl val="0"/>
      </c:catAx>
      <c:valAx>
        <c:axId val="268331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8975"/>
              <c:y val="0.04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380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FOSFATI TOTALI_PO4 con i kit</a:t>
            </a:r>
          </a:p>
        </c:rich>
      </c:tx>
      <c:layout>
        <c:manualLayout>
          <c:xMode val="factor"/>
          <c:yMode val="factor"/>
          <c:x val="-0.0035"/>
          <c:y val="-0.0095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075"/>
          <c:y val="0.16275"/>
          <c:w val="0.86"/>
          <c:h val="0.738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'pm2018-27-04-2018-risultati'!$A$76:$A$84</c:f>
              <c:strCache/>
            </c:strRef>
          </c:cat>
          <c:val>
            <c:numRef>
              <c:f>'pm2018-27-04-2018-risultati'!$G$76:$G$84</c:f>
              <c:numCache/>
            </c:numRef>
          </c:val>
          <c:shape val="box"/>
        </c:ser>
        <c:overlap val="100"/>
        <c:shape val="box"/>
        <c:axId val="40171723"/>
        <c:axId val="26001188"/>
      </c:bar3DChart>
      <c:catAx>
        <c:axId val="40171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Stazioni</a:t>
                </a:r>
              </a:p>
            </c:rich>
          </c:tx>
          <c:layout>
            <c:manualLayout>
              <c:xMode val="factor"/>
              <c:yMode val="factor"/>
              <c:x val="-0.0505"/>
              <c:y val="0.07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01188"/>
        <c:crosses val="autoZero"/>
        <c:auto val="1"/>
        <c:lblOffset val="100"/>
        <c:tickLblSkip val="1"/>
        <c:noMultiLvlLbl val="0"/>
      </c:catAx>
      <c:valAx>
        <c:axId val="260011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 PO4
</a:t>
                </a:r>
              </a:p>
            </c:rich>
          </c:tx>
          <c:layout>
            <c:manualLayout>
              <c:xMode val="factor"/>
              <c:yMode val="factor"/>
              <c:x val="-0.08875"/>
              <c:y val="0.04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7172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NITRATI_NO3  con i kit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475"/>
          <c:w val="0.85"/>
          <c:h val="0.767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'pm2018-27-04-2018-risultati'!$A$76:$A$84</c:f>
              <c:strCache/>
            </c:strRef>
          </c:cat>
          <c:val>
            <c:numRef>
              <c:f>'pm2018-27-04-2018-risultati'!$I$76:$I$84</c:f>
              <c:numCache/>
            </c:numRef>
          </c:val>
          <c:shape val="box"/>
        </c:ser>
        <c:overlap val="100"/>
        <c:shape val="box"/>
        <c:axId val="32684101"/>
        <c:axId val="25721454"/>
      </c:bar3DChart>
      <c:catAx>
        <c:axId val="32684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Stazioni</a:t>
                </a:r>
              </a:p>
            </c:rich>
          </c:tx>
          <c:layout>
            <c:manualLayout>
              <c:xMode val="factor"/>
              <c:yMode val="factor"/>
              <c:x val="-0.056"/>
              <c:y val="0.07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21454"/>
        <c:crosses val="autoZero"/>
        <c:auto val="1"/>
        <c:lblOffset val="100"/>
        <c:tickLblSkip val="1"/>
        <c:noMultiLvlLbl val="0"/>
      </c:catAx>
      <c:valAx>
        <c:axId val="257214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  NO3</a:t>
                </a:r>
              </a:p>
            </c:rich>
          </c:tx>
          <c:layout>
            <c:manualLayout>
              <c:xMode val="factor"/>
              <c:yMode val="factor"/>
              <c:x val="-0.09975"/>
              <c:y val="0.0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841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Nitrati_NO3 con Cromatografia HPLC</a:t>
            </a:r>
          </a:p>
        </c:rich>
      </c:tx>
      <c:layout>
        <c:manualLayout>
          <c:xMode val="factor"/>
          <c:yMode val="factor"/>
          <c:x val="-0.002"/>
          <c:y val="-0.0112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8725"/>
          <c:y val="0.14175"/>
          <c:w val="0.89275"/>
          <c:h val="0.771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'pm2018-27-04-2018-risultati'!$A$76:$A$84</c:f>
              <c:strCache/>
            </c:strRef>
          </c:cat>
          <c:val>
            <c:numRef>
              <c:f>'pm2018-27-04-2018-risultati'!$J$76:$J$84</c:f>
              <c:numCache/>
            </c:numRef>
          </c:val>
          <c:shape val="box"/>
        </c:ser>
        <c:overlap val="100"/>
        <c:shape val="box"/>
        <c:axId val="30166495"/>
        <c:axId val="3063000"/>
      </c:bar3DChart>
      <c:catAx>
        <c:axId val="30166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Stazioni</a:t>
                </a:r>
              </a:p>
            </c:rich>
          </c:tx>
          <c:layout>
            <c:manualLayout>
              <c:xMode val="factor"/>
              <c:yMode val="factor"/>
              <c:x val="-0.034"/>
              <c:y val="0.06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3000"/>
        <c:crosses val="autoZero"/>
        <c:auto val="1"/>
        <c:lblOffset val="100"/>
        <c:tickLblSkip val="1"/>
        <c:noMultiLvlLbl val="0"/>
      </c:catAx>
      <c:valAx>
        <c:axId val="30630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7"/>
              <c:y val="0.0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6649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pH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13375"/>
          <c:w val="0.96375"/>
          <c:h val="0.785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'pm2018-27-04-2018-risultati'!$A$76:$A$84</c:f>
              <c:strCache/>
            </c:strRef>
          </c:cat>
          <c:val>
            <c:numRef>
              <c:f>'pm2018-27-04-2018-risultati'!$K$76:$K$84</c:f>
              <c:numCache/>
            </c:numRef>
          </c:val>
          <c:shape val="box"/>
        </c:ser>
        <c:overlap val="100"/>
        <c:shape val="box"/>
        <c:axId val="27567001"/>
        <c:axId val="46776418"/>
      </c:bar3DChart>
      <c:catAx>
        <c:axId val="27567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Stazioni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6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76418"/>
        <c:crosses val="autoZero"/>
        <c:auto val="1"/>
        <c:lblOffset val="100"/>
        <c:tickLblSkip val="1"/>
        <c:noMultiLvlLbl val="0"/>
      </c:catAx>
      <c:valAx>
        <c:axId val="467764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670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104775</xdr:colOff>
      <xdr:row>5</xdr:row>
      <xdr:rowOff>0</xdr:rowOff>
    </xdr:to>
    <xdr:pic>
      <xdr:nvPicPr>
        <xdr:cNvPr id="1" name="Immagine 1" descr="labter-crea-nuovo-logo-1-1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00" cy="809625"/>
        </a:xfrm>
        <a:prstGeom prst="rect">
          <a:avLst/>
        </a:prstGeom>
        <a:noFill/>
        <a:ln w="9525" cmpd="sng">
          <a:solidFill>
            <a:srgbClr val="8EB4E3"/>
          </a:solidFill>
          <a:headEnd type="none"/>
          <a:tailEnd type="none"/>
        </a:ln>
      </xdr:spPr>
    </xdr:pic>
    <xdr:clientData/>
  </xdr:twoCellAnchor>
  <xdr:twoCellAnchor>
    <xdr:from>
      <xdr:col>22</xdr:col>
      <xdr:colOff>285750</xdr:colOff>
      <xdr:row>101</xdr:row>
      <xdr:rowOff>9525</xdr:rowOff>
    </xdr:from>
    <xdr:to>
      <xdr:col>34</xdr:col>
      <xdr:colOff>295275</xdr:colOff>
      <xdr:row>127</xdr:row>
      <xdr:rowOff>85725</xdr:rowOff>
    </xdr:to>
    <xdr:graphicFrame>
      <xdr:nvGraphicFramePr>
        <xdr:cNvPr id="2" name="Grafico 16"/>
        <xdr:cNvGraphicFramePr/>
      </xdr:nvGraphicFramePr>
      <xdr:xfrm>
        <a:off x="15278100" y="18459450"/>
        <a:ext cx="682942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733425</xdr:colOff>
      <xdr:row>90</xdr:row>
      <xdr:rowOff>161925</xdr:rowOff>
    </xdr:from>
    <xdr:to>
      <xdr:col>7</xdr:col>
      <xdr:colOff>552450</xdr:colOff>
      <xdr:row>110</xdr:row>
      <xdr:rowOff>104775</xdr:rowOff>
    </xdr:to>
    <xdr:graphicFrame>
      <xdr:nvGraphicFramePr>
        <xdr:cNvPr id="3" name="Grafico 16"/>
        <xdr:cNvGraphicFramePr/>
      </xdr:nvGraphicFramePr>
      <xdr:xfrm>
        <a:off x="733425" y="16764000"/>
        <a:ext cx="499110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91</xdr:row>
      <xdr:rowOff>19050</xdr:rowOff>
    </xdr:from>
    <xdr:to>
      <xdr:col>15</xdr:col>
      <xdr:colOff>28575</xdr:colOff>
      <xdr:row>110</xdr:row>
      <xdr:rowOff>47625</xdr:rowOff>
    </xdr:to>
    <xdr:graphicFrame>
      <xdr:nvGraphicFramePr>
        <xdr:cNvPr id="4" name="Grafico 23"/>
        <xdr:cNvGraphicFramePr/>
      </xdr:nvGraphicFramePr>
      <xdr:xfrm>
        <a:off x="6534150" y="16783050"/>
        <a:ext cx="462915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771525</xdr:colOff>
      <xdr:row>112</xdr:row>
      <xdr:rowOff>57150</xdr:rowOff>
    </xdr:from>
    <xdr:to>
      <xdr:col>8</xdr:col>
      <xdr:colOff>152400</xdr:colOff>
      <xdr:row>131</xdr:row>
      <xdr:rowOff>38100</xdr:rowOff>
    </xdr:to>
    <xdr:graphicFrame>
      <xdr:nvGraphicFramePr>
        <xdr:cNvPr id="5" name="Grafico 24"/>
        <xdr:cNvGraphicFramePr/>
      </xdr:nvGraphicFramePr>
      <xdr:xfrm>
        <a:off x="771525" y="20288250"/>
        <a:ext cx="5514975" cy="3057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714375</xdr:colOff>
      <xdr:row>112</xdr:row>
      <xdr:rowOff>66675</xdr:rowOff>
    </xdr:from>
    <xdr:to>
      <xdr:col>16</xdr:col>
      <xdr:colOff>76200</xdr:colOff>
      <xdr:row>130</xdr:row>
      <xdr:rowOff>76200</xdr:rowOff>
    </xdr:to>
    <xdr:graphicFrame>
      <xdr:nvGraphicFramePr>
        <xdr:cNvPr id="6" name="Grafico 25"/>
        <xdr:cNvGraphicFramePr/>
      </xdr:nvGraphicFramePr>
      <xdr:xfrm>
        <a:off x="6848475" y="20297775"/>
        <a:ext cx="4972050" cy="2924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762000</xdr:colOff>
      <xdr:row>132</xdr:row>
      <xdr:rowOff>19050</xdr:rowOff>
    </xdr:from>
    <xdr:to>
      <xdr:col>8</xdr:col>
      <xdr:colOff>180975</xdr:colOff>
      <xdr:row>151</xdr:row>
      <xdr:rowOff>9525</xdr:rowOff>
    </xdr:to>
    <xdr:graphicFrame>
      <xdr:nvGraphicFramePr>
        <xdr:cNvPr id="7" name="Grafico 26"/>
        <xdr:cNvGraphicFramePr/>
      </xdr:nvGraphicFramePr>
      <xdr:xfrm>
        <a:off x="762000" y="23488650"/>
        <a:ext cx="5553075" cy="3067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838200</xdr:colOff>
      <xdr:row>153</xdr:row>
      <xdr:rowOff>9525</xdr:rowOff>
    </xdr:from>
    <xdr:to>
      <xdr:col>8</xdr:col>
      <xdr:colOff>228600</xdr:colOff>
      <xdr:row>174</xdr:row>
      <xdr:rowOff>47625</xdr:rowOff>
    </xdr:to>
    <xdr:graphicFrame>
      <xdr:nvGraphicFramePr>
        <xdr:cNvPr id="8" name="Grafico 27"/>
        <xdr:cNvGraphicFramePr/>
      </xdr:nvGraphicFramePr>
      <xdr:xfrm>
        <a:off x="838200" y="26879550"/>
        <a:ext cx="5524500" cy="3438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666750</xdr:colOff>
      <xdr:row>153</xdr:row>
      <xdr:rowOff>9525</xdr:rowOff>
    </xdr:from>
    <xdr:to>
      <xdr:col>16</xdr:col>
      <xdr:colOff>171450</xdr:colOff>
      <xdr:row>174</xdr:row>
      <xdr:rowOff>114300</xdr:rowOff>
    </xdr:to>
    <xdr:graphicFrame>
      <xdr:nvGraphicFramePr>
        <xdr:cNvPr id="9" name="Grafico 28"/>
        <xdr:cNvGraphicFramePr/>
      </xdr:nvGraphicFramePr>
      <xdr:xfrm>
        <a:off x="6800850" y="26879550"/>
        <a:ext cx="5114925" cy="3505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857250</xdr:colOff>
      <xdr:row>174</xdr:row>
      <xdr:rowOff>161925</xdr:rowOff>
    </xdr:from>
    <xdr:to>
      <xdr:col>8</xdr:col>
      <xdr:colOff>238125</xdr:colOff>
      <xdr:row>196</xdr:row>
      <xdr:rowOff>171450</xdr:rowOff>
    </xdr:to>
    <xdr:graphicFrame>
      <xdr:nvGraphicFramePr>
        <xdr:cNvPr id="10" name="Grafico 32"/>
        <xdr:cNvGraphicFramePr/>
      </xdr:nvGraphicFramePr>
      <xdr:xfrm>
        <a:off x="857250" y="30432375"/>
        <a:ext cx="5514975" cy="3714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14</xdr:col>
      <xdr:colOff>647700</xdr:colOff>
      <xdr:row>0</xdr:row>
      <xdr:rowOff>0</xdr:rowOff>
    </xdr:from>
    <xdr:to>
      <xdr:col>16</xdr:col>
      <xdr:colOff>523875</xdr:colOff>
      <xdr:row>4</xdr:row>
      <xdr:rowOff>142875</xdr:rowOff>
    </xdr:to>
    <xdr:pic>
      <xdr:nvPicPr>
        <xdr:cNvPr id="11" name="Immagine 33" descr="logo-contratto-fiume-minciio-didascalia-mincio-150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049000" y="0"/>
          <a:ext cx="1219200" cy="790575"/>
        </a:xfrm>
        <a:prstGeom prst="rect">
          <a:avLst/>
        </a:prstGeom>
        <a:noFill/>
        <a:ln w="9525" cmpd="sng">
          <a:solidFill>
            <a:srgbClr val="8EB4E3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361950</xdr:colOff>
      <xdr:row>5</xdr:row>
      <xdr:rowOff>0</xdr:rowOff>
    </xdr:to>
    <xdr:pic>
      <xdr:nvPicPr>
        <xdr:cNvPr id="1" name="Immagine 1" descr="labter-crea-nuovo-logo-1-1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00" cy="809625"/>
        </a:xfrm>
        <a:prstGeom prst="rect">
          <a:avLst/>
        </a:prstGeom>
        <a:noFill/>
        <a:ln w="9525" cmpd="sng">
          <a:solidFill>
            <a:srgbClr val="8EB4E3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1019175</xdr:colOff>
      <xdr:row>5</xdr:row>
      <xdr:rowOff>47625</xdr:rowOff>
    </xdr:to>
    <xdr:pic>
      <xdr:nvPicPr>
        <xdr:cNvPr id="2" name="Immagine 4" descr="savi-&amp;-lab-servic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0"/>
          <a:ext cx="1924050" cy="857250"/>
        </a:xfrm>
        <a:prstGeom prst="rect">
          <a:avLst/>
        </a:prstGeom>
        <a:noFill/>
        <a:ln w="9525" cmpd="sng">
          <a:solidFill>
            <a:srgbClr val="8EB4E3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1047750</xdr:colOff>
      <xdr:row>5</xdr:row>
      <xdr:rowOff>0</xdr:rowOff>
    </xdr:to>
    <xdr:pic>
      <xdr:nvPicPr>
        <xdr:cNvPr id="1" name="Immagine 1" descr="labter-crea-nuovo-logo-1-1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47625</xdr:colOff>
      <xdr:row>5</xdr:row>
      <xdr:rowOff>0</xdr:rowOff>
    </xdr:to>
    <xdr:pic>
      <xdr:nvPicPr>
        <xdr:cNvPr id="1" name="Immagine 1" descr="labter-crea-nuovo-logo-1-1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904875</xdr:colOff>
      <xdr:row>0</xdr:row>
      <xdr:rowOff>0</xdr:rowOff>
    </xdr:from>
    <xdr:to>
      <xdr:col>6</xdr:col>
      <xdr:colOff>9525</xdr:colOff>
      <xdr:row>5</xdr:row>
      <xdr:rowOff>47625</xdr:rowOff>
    </xdr:to>
    <xdr:pic>
      <xdr:nvPicPr>
        <xdr:cNvPr id="2" name="Immagine 3" descr="savi-&amp;-lab-servic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39200" y="0"/>
          <a:ext cx="1924050" cy="857250"/>
        </a:xfrm>
        <a:prstGeom prst="rect">
          <a:avLst/>
        </a:prstGeom>
        <a:noFill/>
        <a:ln w="9525" cmpd="sng">
          <a:solidFill>
            <a:srgbClr val="8EB4E3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0</xdr:col>
      <xdr:colOff>1085850</xdr:colOff>
      <xdr:row>5</xdr:row>
      <xdr:rowOff>133350</xdr:rowOff>
    </xdr:to>
    <xdr:pic>
      <xdr:nvPicPr>
        <xdr:cNvPr id="1" name="Immagine 1" descr="labter-crea-nuovo-logo-1-1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047750" cy="914400"/>
        </a:xfrm>
        <a:prstGeom prst="rect">
          <a:avLst/>
        </a:prstGeom>
        <a:noFill/>
        <a:ln w="9525" cmpd="sng">
          <a:solidFill>
            <a:srgbClr val="8EB4E3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ndro\Desktop\Progetto%20Mincio%202018\risultati-campionamenti-27-04-2018\pm2018-seconda-giornata-di-monitoraggio-27-04-2018-risultati-bozza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2018-27-04-2018-risultati"/>
      <sheetName val="pm2018-nitr-fosf-comparazione"/>
      <sheetName val="OssDisc-Compar-titolaz-sonde"/>
      <sheetName val="Quadro-Dati-SAVI"/>
      <sheetName val="scuole-classi-insegnanti"/>
    </sheetNames>
    <sheetDataSet>
      <sheetData sheetId="0">
        <row r="44">
          <cell r="E44">
            <v>110</v>
          </cell>
        </row>
        <row r="45">
          <cell r="E45">
            <v>107.25</v>
          </cell>
        </row>
        <row r="46">
          <cell r="E46">
            <v>120</v>
          </cell>
        </row>
        <row r="47">
          <cell r="E47">
            <v>116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0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13.00390625" style="0" customWidth="1"/>
    <col min="2" max="2" width="10.140625" style="0" bestFit="1" customWidth="1"/>
    <col min="3" max="3" width="9.57421875" style="0" bestFit="1" customWidth="1"/>
    <col min="6" max="6" width="14.28125" style="207" customWidth="1"/>
    <col min="7" max="7" width="12.28125" style="0" customWidth="1"/>
    <col min="8" max="8" width="14.421875" style="0" customWidth="1"/>
    <col min="9" max="9" width="12.28125" style="0" customWidth="1"/>
    <col min="10" max="10" width="14.421875" style="0" bestFit="1" customWidth="1"/>
    <col min="11" max="11" width="9.57421875" style="0" bestFit="1" customWidth="1"/>
    <col min="14" max="14" width="9.421875" style="0" customWidth="1"/>
    <col min="15" max="15" width="11.00390625" style="0" bestFit="1" customWidth="1"/>
    <col min="17" max="18" width="8.140625" style="0" customWidth="1"/>
    <col min="19" max="19" width="7.8515625" style="0" customWidth="1"/>
    <col min="20" max="20" width="7.57421875" style="0" customWidth="1"/>
    <col min="21" max="21" width="8.57421875" style="0" customWidth="1"/>
    <col min="22" max="22" width="8.421875" style="69" customWidth="1"/>
    <col min="23" max="23" width="8.140625" style="0" customWidth="1"/>
    <col min="24" max="24" width="9.00390625" style="0" customWidth="1"/>
    <col min="25" max="25" width="8.00390625" style="0" customWidth="1"/>
    <col min="26" max="26" width="7.7109375" style="0" customWidth="1"/>
    <col min="27" max="27" width="8.28125" style="0" customWidth="1"/>
    <col min="28" max="28" width="8.00390625" style="0" customWidth="1"/>
    <col min="29" max="29" width="7.421875" style="0" customWidth="1"/>
  </cols>
  <sheetData>
    <row r="1" spans="2:14" ht="12.75">
      <c r="B1" s="207"/>
      <c r="C1" s="461"/>
      <c r="D1" s="54"/>
      <c r="E1" s="460"/>
      <c r="I1" s="461"/>
      <c r="K1" s="461"/>
      <c r="N1" s="54"/>
    </row>
    <row r="2" spans="2:15" ht="12.75">
      <c r="B2" s="464"/>
      <c r="C2" s="469" t="s">
        <v>218</v>
      </c>
      <c r="D2" s="470"/>
      <c r="E2" s="471"/>
      <c r="F2" s="472"/>
      <c r="G2" s="473"/>
      <c r="H2" s="470"/>
      <c r="I2" s="474"/>
      <c r="J2" s="470"/>
      <c r="K2" s="474"/>
      <c r="L2" s="470"/>
      <c r="M2" s="470"/>
      <c r="N2" s="470"/>
      <c r="O2" s="468"/>
    </row>
    <row r="3" spans="3:15" ht="12.75">
      <c r="C3" s="475" t="s">
        <v>219</v>
      </c>
      <c r="D3" s="476"/>
      <c r="E3" s="474"/>
      <c r="F3" s="477"/>
      <c r="G3" s="476"/>
      <c r="H3" s="476"/>
      <c r="I3" s="476"/>
      <c r="J3" s="476"/>
      <c r="K3" s="476"/>
      <c r="L3" s="476"/>
      <c r="M3" s="476"/>
      <c r="N3" s="476"/>
      <c r="O3" s="468"/>
    </row>
    <row r="4" spans="3:8" ht="12.75">
      <c r="C4" s="463"/>
      <c r="E4" s="462"/>
      <c r="H4" s="466"/>
    </row>
    <row r="5" spans="3:9" ht="12.75">
      <c r="C5" s="465" t="s">
        <v>220</v>
      </c>
      <c r="D5" s="466"/>
      <c r="E5" s="466"/>
      <c r="F5" s="467"/>
      <c r="G5" s="466"/>
      <c r="H5" s="466"/>
      <c r="I5" s="468"/>
    </row>
    <row r="6" ht="12.75"/>
    <row r="8" ht="15.75">
      <c r="A8" s="1" t="s">
        <v>34</v>
      </c>
    </row>
    <row r="9" spans="1:11" ht="15.75">
      <c r="A9" s="1" t="s">
        <v>33</v>
      </c>
      <c r="B9" s="2"/>
      <c r="C9" s="3"/>
      <c r="D9" s="3"/>
      <c r="E9" s="4"/>
      <c r="F9" s="5"/>
      <c r="G9" s="6"/>
      <c r="H9" s="7"/>
      <c r="I9" s="3"/>
      <c r="J9" s="3"/>
      <c r="K9" s="2"/>
    </row>
    <row r="10" spans="1:11" ht="15.75">
      <c r="A10" s="1" t="s">
        <v>35</v>
      </c>
      <c r="B10" s="2"/>
      <c r="C10" s="3"/>
      <c r="D10" s="3"/>
      <c r="E10" s="4"/>
      <c r="F10" s="70"/>
      <c r="G10" s="6"/>
      <c r="H10" s="7"/>
      <c r="I10" s="3"/>
      <c r="J10" s="3"/>
      <c r="K10" s="2"/>
    </row>
    <row r="11" spans="1:22" s="377" customFormat="1" ht="20.25">
      <c r="A11" s="368" t="s">
        <v>73</v>
      </c>
      <c r="B11" s="369"/>
      <c r="C11" s="370"/>
      <c r="D11" s="370"/>
      <c r="E11" s="371"/>
      <c r="F11" s="372"/>
      <c r="G11" s="373"/>
      <c r="H11" s="374"/>
      <c r="I11" s="370"/>
      <c r="J11" s="370"/>
      <c r="K11" s="369"/>
      <c r="L11" s="370"/>
      <c r="M11" s="375"/>
      <c r="N11" s="369"/>
      <c r="O11" s="376"/>
      <c r="V11" s="378"/>
    </row>
    <row r="12" spans="1:15" ht="15.75">
      <c r="A12" s="1"/>
      <c r="B12" s="2"/>
      <c r="C12" s="3"/>
      <c r="D12" s="3"/>
      <c r="E12" s="4"/>
      <c r="F12" s="70"/>
      <c r="G12" s="6"/>
      <c r="H12" s="7"/>
      <c r="I12" s="3"/>
      <c r="J12" s="3"/>
      <c r="K12" s="2"/>
      <c r="L12" s="3"/>
      <c r="M12" s="71"/>
      <c r="N12" s="2"/>
      <c r="O12" s="54"/>
    </row>
    <row r="13" spans="1:15" ht="15.75">
      <c r="A13" s="1" t="s">
        <v>29</v>
      </c>
      <c r="B13" s="2"/>
      <c r="C13" s="3"/>
      <c r="D13" s="3"/>
      <c r="E13" s="4"/>
      <c r="F13" s="70"/>
      <c r="G13" s="6"/>
      <c r="H13" s="7"/>
      <c r="I13" s="3"/>
      <c r="J13" s="3"/>
      <c r="K13" s="2"/>
      <c r="L13" s="3"/>
      <c r="M13" s="71"/>
      <c r="N13" s="2"/>
      <c r="O13" s="54"/>
    </row>
    <row r="14" spans="1:15" ht="15.75">
      <c r="A14" s="92" t="s">
        <v>49</v>
      </c>
      <c r="B14" s="2"/>
      <c r="C14" s="3"/>
      <c r="D14" s="3"/>
      <c r="E14" s="4"/>
      <c r="F14" s="70"/>
      <c r="G14" s="6"/>
      <c r="H14" s="7"/>
      <c r="I14" s="3"/>
      <c r="J14" s="3"/>
      <c r="K14" s="2"/>
      <c r="L14" s="3"/>
      <c r="M14" s="71"/>
      <c r="N14" s="2"/>
      <c r="O14" s="54"/>
    </row>
    <row r="15" spans="1:15" ht="15.75">
      <c r="A15" s="92" t="s">
        <v>50</v>
      </c>
      <c r="B15" s="2"/>
      <c r="C15" s="3"/>
      <c r="D15" s="3"/>
      <c r="E15" s="4"/>
      <c r="F15" s="70"/>
      <c r="G15" s="6"/>
      <c r="H15" s="7"/>
      <c r="I15" s="3"/>
      <c r="J15" s="3"/>
      <c r="K15" s="2"/>
      <c r="L15" s="3"/>
      <c r="M15" s="71"/>
      <c r="N15" s="2"/>
      <c r="O15" s="54"/>
    </row>
    <row r="16" spans="1:15" ht="15.75">
      <c r="A16" s="92" t="s">
        <v>47</v>
      </c>
      <c r="B16" s="2"/>
      <c r="C16" s="3"/>
      <c r="D16" s="3"/>
      <c r="E16" s="4"/>
      <c r="F16" s="70"/>
      <c r="G16" s="6"/>
      <c r="H16" s="7"/>
      <c r="I16" s="3"/>
      <c r="J16" s="3"/>
      <c r="K16" s="2"/>
      <c r="L16" s="3"/>
      <c r="M16" s="71"/>
      <c r="N16" s="2"/>
      <c r="O16" s="54"/>
    </row>
    <row r="17" spans="1:15" ht="15.75">
      <c r="A17" s="92" t="s">
        <v>82</v>
      </c>
      <c r="B17" s="2"/>
      <c r="C17" s="3"/>
      <c r="D17" s="3"/>
      <c r="E17" s="4"/>
      <c r="F17" s="70"/>
      <c r="G17" s="6"/>
      <c r="H17" s="7"/>
      <c r="I17" s="3"/>
      <c r="J17" s="3"/>
      <c r="K17" s="2"/>
      <c r="L17" s="3"/>
      <c r="M17" s="71"/>
      <c r="N17" s="2"/>
      <c r="O17" s="54"/>
    </row>
    <row r="18" spans="1:15" ht="15.75">
      <c r="A18" s="92" t="s">
        <v>48</v>
      </c>
      <c r="B18" s="2"/>
      <c r="C18" s="3"/>
      <c r="D18" s="3"/>
      <c r="E18" s="4"/>
      <c r="F18" s="70"/>
      <c r="G18" s="6"/>
      <c r="H18" s="190"/>
      <c r="I18" s="3"/>
      <c r="J18" s="3"/>
      <c r="K18" s="2"/>
      <c r="L18" s="3"/>
      <c r="M18" s="71"/>
      <c r="N18" s="2"/>
      <c r="O18" s="54"/>
    </row>
    <row r="19" spans="1:20" ht="15.75">
      <c r="A19" s="92" t="s">
        <v>83</v>
      </c>
      <c r="B19" s="2"/>
      <c r="C19" s="3"/>
      <c r="D19" s="3"/>
      <c r="E19" s="4"/>
      <c r="F19" s="70"/>
      <c r="G19" s="6"/>
      <c r="H19" s="7"/>
      <c r="I19" s="3"/>
      <c r="J19" s="3"/>
      <c r="K19" s="2"/>
      <c r="L19" s="3"/>
      <c r="M19" s="71"/>
      <c r="N19" s="2"/>
      <c r="O19" s="54"/>
      <c r="R19" s="514" t="s">
        <v>30</v>
      </c>
      <c r="S19" s="514"/>
      <c r="T19" s="514"/>
    </row>
    <row r="20" spans="1:20" ht="15.75">
      <c r="A20" s="92" t="s">
        <v>51</v>
      </c>
      <c r="B20" s="2"/>
      <c r="C20" s="3"/>
      <c r="D20" s="3"/>
      <c r="E20" s="4"/>
      <c r="F20" s="70"/>
      <c r="G20" s="6"/>
      <c r="H20" s="7"/>
      <c r="I20" s="3"/>
      <c r="J20" s="3"/>
      <c r="K20" s="2"/>
      <c r="L20" s="3"/>
      <c r="M20" s="71"/>
      <c r="N20" s="2"/>
      <c r="O20" s="54"/>
      <c r="R20" s="69"/>
      <c r="S20" s="69"/>
      <c r="T20" s="69"/>
    </row>
    <row r="21" spans="1:20" ht="15.75">
      <c r="A21" s="92" t="s">
        <v>84</v>
      </c>
      <c r="B21" s="2"/>
      <c r="C21" s="3"/>
      <c r="D21" s="3"/>
      <c r="E21" s="4"/>
      <c r="F21" s="70"/>
      <c r="G21" s="6"/>
      <c r="H21" s="7"/>
      <c r="I21" s="3"/>
      <c r="J21" s="3"/>
      <c r="K21" s="2"/>
      <c r="L21" s="3"/>
      <c r="M21" s="71"/>
      <c r="N21" s="2"/>
      <c r="O21" s="54"/>
      <c r="R21" s="69"/>
      <c r="S21" s="69"/>
      <c r="T21" s="69"/>
    </row>
    <row r="22" spans="1:20" ht="15.75">
      <c r="A22" s="92" t="s">
        <v>221</v>
      </c>
      <c r="B22" s="2"/>
      <c r="C22" s="3"/>
      <c r="D22" s="3"/>
      <c r="E22" s="4"/>
      <c r="F22" s="70"/>
      <c r="G22" s="6"/>
      <c r="H22" s="7"/>
      <c r="I22" s="7"/>
      <c r="J22" s="7"/>
      <c r="K22" s="7"/>
      <c r="L22" s="7"/>
      <c r="M22" s="7"/>
      <c r="N22" s="7"/>
      <c r="O22" s="7"/>
      <c r="P22" s="7"/>
      <c r="R22" s="69"/>
      <c r="S22" s="69"/>
      <c r="T22" s="69"/>
    </row>
    <row r="23" spans="1:20" ht="15.75">
      <c r="A23" s="92" t="s">
        <v>85</v>
      </c>
      <c r="B23" s="2"/>
      <c r="C23" s="3"/>
      <c r="D23" s="3"/>
      <c r="E23" s="4"/>
      <c r="F23" s="70"/>
      <c r="G23" s="6"/>
      <c r="H23" s="7"/>
      <c r="I23" s="7"/>
      <c r="J23" s="7"/>
      <c r="K23" s="7"/>
      <c r="L23" s="7"/>
      <c r="M23" s="7"/>
      <c r="N23" s="7"/>
      <c r="O23" s="7"/>
      <c r="P23" s="7"/>
      <c r="R23" s="69"/>
      <c r="S23" s="69"/>
      <c r="T23" s="69"/>
    </row>
    <row r="24" spans="1:20" ht="16.5" thickBot="1">
      <c r="A24" s="92"/>
      <c r="B24" s="2"/>
      <c r="C24" s="3"/>
      <c r="D24" s="3"/>
      <c r="E24" s="4"/>
      <c r="F24" s="70"/>
      <c r="G24" s="6"/>
      <c r="H24" s="313"/>
      <c r="I24" s="3"/>
      <c r="J24" s="306"/>
      <c r="K24" s="2"/>
      <c r="L24" s="3"/>
      <c r="M24" s="71"/>
      <c r="N24" s="305"/>
      <c r="O24" s="312"/>
      <c r="R24" s="69"/>
      <c r="S24" s="69"/>
      <c r="T24" s="69"/>
    </row>
    <row r="25" spans="1:20" ht="15.75">
      <c r="A25" s="92"/>
      <c r="B25" s="2"/>
      <c r="C25" s="287"/>
      <c r="D25" s="287"/>
      <c r="E25" s="287"/>
      <c r="F25" s="287"/>
      <c r="G25" s="287"/>
      <c r="H25" s="79" t="s">
        <v>43</v>
      </c>
      <c r="I25" s="3"/>
      <c r="J25" s="79" t="s">
        <v>43</v>
      </c>
      <c r="K25" s="2"/>
      <c r="L25" s="3"/>
      <c r="M25" s="71"/>
      <c r="N25" s="319" t="s">
        <v>80</v>
      </c>
      <c r="O25" s="320" t="s">
        <v>81</v>
      </c>
      <c r="R25" s="69"/>
      <c r="S25" s="69"/>
      <c r="T25" s="69"/>
    </row>
    <row r="26" spans="1:21" ht="18.75" customHeight="1" thickBot="1">
      <c r="A26" s="91"/>
      <c r="B26" s="305"/>
      <c r="C26" s="306"/>
      <c r="D26" s="306"/>
      <c r="E26" s="307"/>
      <c r="F26" s="307"/>
      <c r="G26" s="308"/>
      <c r="H26" s="10" t="s">
        <v>44</v>
      </c>
      <c r="I26" s="3"/>
      <c r="J26" s="10" t="s">
        <v>44</v>
      </c>
      <c r="K26" s="311"/>
      <c r="L26" s="306"/>
      <c r="M26" s="305"/>
      <c r="N26" s="317" t="s">
        <v>44</v>
      </c>
      <c r="O26" s="318" t="s">
        <v>44</v>
      </c>
      <c r="P26" s="312"/>
      <c r="R26" s="69">
        <v>1</v>
      </c>
      <c r="S26" s="69">
        <v>2</v>
      </c>
      <c r="T26" s="69">
        <v>3</v>
      </c>
      <c r="U26" s="69">
        <v>4</v>
      </c>
    </row>
    <row r="27" spans="2:21" ht="26.25" customHeight="1" thickBot="1">
      <c r="B27" s="304" t="s">
        <v>9</v>
      </c>
      <c r="C27" s="304" t="s">
        <v>10</v>
      </c>
      <c r="D27" s="304" t="s">
        <v>58</v>
      </c>
      <c r="E27" s="304" t="s">
        <v>41</v>
      </c>
      <c r="F27" s="304" t="s">
        <v>11</v>
      </c>
      <c r="G27" s="304" t="s">
        <v>42</v>
      </c>
      <c r="H27" s="298" t="s">
        <v>42</v>
      </c>
      <c r="I27" s="297" t="s">
        <v>46</v>
      </c>
      <c r="J27" s="298" t="s">
        <v>46</v>
      </c>
      <c r="K27" s="304" t="s">
        <v>12</v>
      </c>
      <c r="L27" s="304" t="s">
        <v>13</v>
      </c>
      <c r="M27" s="304" t="s">
        <v>69</v>
      </c>
      <c r="N27" s="309" t="s">
        <v>53</v>
      </c>
      <c r="O27" s="310" t="s">
        <v>70</v>
      </c>
      <c r="P27" s="304" t="s">
        <v>15</v>
      </c>
      <c r="R27" s="148">
        <v>0.3854166666666667</v>
      </c>
      <c r="S27" s="149">
        <v>0.4270833333333333</v>
      </c>
      <c r="T27" s="150">
        <v>0.46875</v>
      </c>
      <c r="U27" s="191">
        <v>0.6041666666666666</v>
      </c>
    </row>
    <row r="28" spans="1:24" ht="26.25" customHeight="1" thickBot="1">
      <c r="A28" s="11" t="s">
        <v>8</v>
      </c>
      <c r="B28" s="300"/>
      <c r="C28" s="300" t="s">
        <v>0</v>
      </c>
      <c r="D28" s="300" t="s">
        <v>1</v>
      </c>
      <c r="E28" s="300" t="s">
        <v>2</v>
      </c>
      <c r="F28" s="300" t="s">
        <v>1</v>
      </c>
      <c r="G28" s="300" t="s">
        <v>1</v>
      </c>
      <c r="H28" s="301" t="s">
        <v>66</v>
      </c>
      <c r="I28" s="300" t="s">
        <v>1</v>
      </c>
      <c r="J28" s="301" t="s">
        <v>1</v>
      </c>
      <c r="K28" s="300" t="s">
        <v>68</v>
      </c>
      <c r="L28" s="300" t="s">
        <v>5</v>
      </c>
      <c r="M28" s="300" t="s">
        <v>5</v>
      </c>
      <c r="N28" s="302" t="s">
        <v>71</v>
      </c>
      <c r="O28" s="303" t="s">
        <v>1</v>
      </c>
      <c r="P28" s="300" t="s">
        <v>7</v>
      </c>
      <c r="R28" s="511" t="s">
        <v>25</v>
      </c>
      <c r="S28" s="512"/>
      <c r="T28" s="513"/>
      <c r="U28" s="193"/>
      <c r="V28" s="69" t="s">
        <v>26</v>
      </c>
      <c r="X28" s="72" t="s">
        <v>24</v>
      </c>
    </row>
    <row r="29" spans="1:24" ht="12.75">
      <c r="A29" s="22" t="s">
        <v>16</v>
      </c>
      <c r="B29" s="299">
        <v>1</v>
      </c>
      <c r="C29" s="93">
        <v>90</v>
      </c>
      <c r="D29" s="94">
        <f>7*1.7</f>
        <v>11.9</v>
      </c>
      <c r="E29" s="23">
        <v>125</v>
      </c>
      <c r="F29" s="198">
        <f>D29-(6*1.7)</f>
        <v>1.700000000000001</v>
      </c>
      <c r="G29" s="195">
        <f>0.16*3</f>
        <v>0.48</v>
      </c>
      <c r="H29" s="83"/>
      <c r="I29" s="198">
        <v>0.44</v>
      </c>
      <c r="J29" s="83"/>
      <c r="K29" s="95">
        <v>6.4</v>
      </c>
      <c r="L29" s="95">
        <v>18</v>
      </c>
      <c r="M29" s="96">
        <v>0</v>
      </c>
      <c r="N29" s="138">
        <v>256</v>
      </c>
      <c r="O29" s="127">
        <f>N29*0.67</f>
        <v>171.52</v>
      </c>
      <c r="P29" s="119" t="s">
        <v>22</v>
      </c>
      <c r="R29" s="274"/>
      <c r="S29" s="275"/>
      <c r="T29" s="276"/>
      <c r="U29" s="192"/>
      <c r="V29" s="69" t="s">
        <v>16</v>
      </c>
      <c r="X29" t="s">
        <v>56</v>
      </c>
    </row>
    <row r="30" spans="1:21" ht="12.75">
      <c r="A30" s="24"/>
      <c r="B30" s="25">
        <v>2</v>
      </c>
      <c r="C30" s="97"/>
      <c r="D30" s="94">
        <f>8.5*1.7</f>
        <v>14.45</v>
      </c>
      <c r="E30" s="27">
        <v>155</v>
      </c>
      <c r="F30" s="198">
        <f>D30-(8*1.7)</f>
        <v>0.8499999999999996</v>
      </c>
      <c r="G30" s="203">
        <f>0.086*3</f>
        <v>0.258</v>
      </c>
      <c r="H30" s="80"/>
      <c r="I30" s="199">
        <v>0.18</v>
      </c>
      <c r="J30" s="80"/>
      <c r="K30" s="99">
        <v>6.63</v>
      </c>
      <c r="L30" s="99">
        <v>18.5</v>
      </c>
      <c r="M30" s="96">
        <v>0</v>
      </c>
      <c r="N30" s="139">
        <v>242</v>
      </c>
      <c r="O30" s="126">
        <f>N30*0.67</f>
        <v>162.14000000000001</v>
      </c>
      <c r="P30" s="119" t="s">
        <v>22</v>
      </c>
      <c r="R30" s="263"/>
      <c r="S30" s="264"/>
      <c r="T30" s="265"/>
      <c r="U30" s="192"/>
    </row>
    <row r="31" spans="1:21" ht="12.75">
      <c r="A31" s="26"/>
      <c r="B31" s="25">
        <v>3</v>
      </c>
      <c r="C31" s="97"/>
      <c r="D31" s="94">
        <f>6.5*1.7</f>
        <v>11.049999999999999</v>
      </c>
      <c r="E31" s="151">
        <v>108</v>
      </c>
      <c r="F31" s="198">
        <f>D31-(6.5*1.7)</f>
        <v>0</v>
      </c>
      <c r="G31" s="203" t="s">
        <v>27</v>
      </c>
      <c r="H31" s="80" t="s">
        <v>55</v>
      </c>
      <c r="I31" s="199">
        <v>3.1</v>
      </c>
      <c r="J31" s="80">
        <v>0.3</v>
      </c>
      <c r="K31" s="99">
        <v>6.72</v>
      </c>
      <c r="L31" s="99">
        <v>18.5</v>
      </c>
      <c r="M31" s="96">
        <v>0</v>
      </c>
      <c r="N31" s="140">
        <v>255</v>
      </c>
      <c r="O31" s="126">
        <f>N31*0.67</f>
        <v>170.85000000000002</v>
      </c>
      <c r="P31" s="119" t="s">
        <v>22</v>
      </c>
      <c r="R31" s="263"/>
      <c r="S31" s="264"/>
      <c r="T31" s="265"/>
      <c r="U31" s="192"/>
    </row>
    <row r="32" spans="1:21" ht="13.5" thickBot="1">
      <c r="A32" s="28"/>
      <c r="B32" s="29" t="s">
        <v>17</v>
      </c>
      <c r="C32" s="100">
        <f aca="true" t="shared" si="0" ref="C32:J32">AVERAGE(C29:C31)</f>
        <v>90</v>
      </c>
      <c r="D32" s="101">
        <f t="shared" si="0"/>
        <v>12.466666666666667</v>
      </c>
      <c r="E32" s="100">
        <f t="shared" si="0"/>
        <v>129.33333333333334</v>
      </c>
      <c r="F32" s="197">
        <f t="shared" si="0"/>
        <v>0.8500000000000002</v>
      </c>
      <c r="G32" s="197">
        <f t="shared" si="0"/>
        <v>0.369</v>
      </c>
      <c r="H32" s="81" t="s">
        <v>55</v>
      </c>
      <c r="I32" s="197">
        <f>AVERAGE(I29:I31)</f>
        <v>1.24</v>
      </c>
      <c r="J32" s="81">
        <f t="shared" si="0"/>
        <v>0.3</v>
      </c>
      <c r="K32" s="106">
        <f>AVERAGE(K29:K31)</f>
        <v>6.583333333333333</v>
      </c>
      <c r="L32" s="107">
        <f>AVERAGE(L29:L31)</f>
        <v>18.333333333333332</v>
      </c>
      <c r="M32" s="101">
        <f>AVERAGE(M29:M31)</f>
        <v>0</v>
      </c>
      <c r="N32" s="143">
        <f>AVERAGE(N29:N31)</f>
        <v>251</v>
      </c>
      <c r="O32" s="249">
        <f>AVERAGE(O29:O31)</f>
        <v>168.17000000000002</v>
      </c>
      <c r="P32" s="120" t="s">
        <v>22</v>
      </c>
      <c r="R32" s="266"/>
      <c r="S32" s="267"/>
      <c r="T32" s="268"/>
      <c r="U32" s="193"/>
    </row>
    <row r="33" spans="1:22" ht="13.5" thickBot="1">
      <c r="A33" s="22" t="s">
        <v>18</v>
      </c>
      <c r="B33" s="30">
        <v>1</v>
      </c>
      <c r="C33" s="93">
        <v>700</v>
      </c>
      <c r="D33" s="94">
        <f>7*1.7</f>
        <v>11.9</v>
      </c>
      <c r="E33" s="23">
        <v>112</v>
      </c>
      <c r="F33" s="198">
        <f>D33-(6*1.7)</f>
        <v>1.700000000000001</v>
      </c>
      <c r="G33" s="478">
        <v>0.06</v>
      </c>
      <c r="H33" s="80"/>
      <c r="I33" s="198">
        <v>1.33</v>
      </c>
      <c r="J33" s="83"/>
      <c r="K33" s="95">
        <v>8.2</v>
      </c>
      <c r="L33" s="95">
        <v>13.2</v>
      </c>
      <c r="M33" s="96">
        <v>0</v>
      </c>
      <c r="N33" s="140">
        <v>248</v>
      </c>
      <c r="O33" s="127">
        <f>N33*0.67</f>
        <v>166.16</v>
      </c>
      <c r="P33" s="236" t="s">
        <v>27</v>
      </c>
      <c r="R33" s="274"/>
      <c r="S33" s="275"/>
      <c r="T33" s="276"/>
      <c r="U33" s="192"/>
      <c r="V33" s="69" t="s">
        <v>18</v>
      </c>
    </row>
    <row r="34" spans="1:21" ht="13.5" thickBot="1">
      <c r="A34" s="24"/>
      <c r="B34" s="31">
        <v>2</v>
      </c>
      <c r="C34" s="97"/>
      <c r="D34" s="94">
        <f>5.5*1.7</f>
        <v>9.35</v>
      </c>
      <c r="E34" s="23">
        <v>92</v>
      </c>
      <c r="F34" s="225">
        <f>D34-(5.5*1.7)</f>
        <v>0</v>
      </c>
      <c r="G34" s="478">
        <v>0.09</v>
      </c>
      <c r="H34" s="80"/>
      <c r="I34" s="198">
        <v>1.55</v>
      </c>
      <c r="J34" s="80"/>
      <c r="K34" s="99">
        <v>7.8</v>
      </c>
      <c r="L34" s="95">
        <v>14.6</v>
      </c>
      <c r="M34" s="96">
        <v>0</v>
      </c>
      <c r="N34" s="140">
        <v>363</v>
      </c>
      <c r="O34" s="127">
        <f>N34*0.67</f>
        <v>243.21</v>
      </c>
      <c r="P34" s="236" t="s">
        <v>27</v>
      </c>
      <c r="R34" s="263"/>
      <c r="S34" s="264"/>
      <c r="T34" s="265"/>
      <c r="U34" s="192"/>
    </row>
    <row r="35" spans="1:21" ht="13.5" thickBot="1">
      <c r="A35" s="26"/>
      <c r="B35" s="31">
        <v>3</v>
      </c>
      <c r="C35" s="97"/>
      <c r="D35" s="94">
        <f>6*1.7</f>
        <v>10.2</v>
      </c>
      <c r="E35" s="23">
        <v>99</v>
      </c>
      <c r="F35" s="198">
        <f>D35-6*1.7</f>
        <v>0</v>
      </c>
      <c r="G35" s="204"/>
      <c r="H35" s="80" t="s">
        <v>55</v>
      </c>
      <c r="I35" s="198">
        <v>1.99</v>
      </c>
      <c r="J35" s="80">
        <v>7.52</v>
      </c>
      <c r="K35" s="99">
        <v>7.8</v>
      </c>
      <c r="L35" s="95">
        <v>14.8</v>
      </c>
      <c r="M35" s="96">
        <v>0</v>
      </c>
      <c r="N35" s="140">
        <v>362</v>
      </c>
      <c r="O35" s="127">
        <f>N35*0.67</f>
        <v>242.54000000000002</v>
      </c>
      <c r="P35" s="236" t="s">
        <v>27</v>
      </c>
      <c r="R35" s="263"/>
      <c r="S35" s="264"/>
      <c r="T35" s="265"/>
      <c r="U35" s="192"/>
    </row>
    <row r="36" spans="1:21" ht="13.5" thickBot="1">
      <c r="A36" s="28"/>
      <c r="B36" s="29" t="s">
        <v>17</v>
      </c>
      <c r="C36" s="100">
        <f aca="true" t="shared" si="1" ref="C36:J36">AVERAGE(C33:C35)</f>
        <v>700</v>
      </c>
      <c r="D36" s="101">
        <f t="shared" si="1"/>
        <v>10.483333333333333</v>
      </c>
      <c r="E36" s="100">
        <f t="shared" si="1"/>
        <v>101</v>
      </c>
      <c r="F36" s="197">
        <f t="shared" si="1"/>
        <v>0.566666666666667</v>
      </c>
      <c r="G36" s="205">
        <f t="shared" si="1"/>
        <v>0.075</v>
      </c>
      <c r="H36" s="81" t="s">
        <v>55</v>
      </c>
      <c r="I36" s="206">
        <f>AVERAGE(I33:I35)</f>
        <v>1.6233333333333333</v>
      </c>
      <c r="J36" s="81">
        <f t="shared" si="1"/>
        <v>7.52</v>
      </c>
      <c r="K36" s="106">
        <f>AVERAGE(K33:K35)</f>
        <v>7.933333333333334</v>
      </c>
      <c r="L36" s="235">
        <f>AVERAGE(L33:L35)</f>
        <v>14.199999999999998</v>
      </c>
      <c r="M36" s="101">
        <f>AVERAGE(M33:M35)</f>
        <v>0</v>
      </c>
      <c r="N36" s="143">
        <f>AVERAGE(N33:N35)</f>
        <v>324.3333333333333</v>
      </c>
      <c r="O36" s="249">
        <f>AVERAGE(O33:O35)</f>
        <v>217.30333333333337</v>
      </c>
      <c r="P36" s="120" t="s">
        <v>27</v>
      </c>
      <c r="R36" s="266"/>
      <c r="S36" s="267"/>
      <c r="T36" s="268"/>
      <c r="U36" s="193"/>
    </row>
    <row r="37" spans="1:22" ht="12.75">
      <c r="A37" s="22" t="s">
        <v>36</v>
      </c>
      <c r="B37" s="33">
        <v>1</v>
      </c>
      <c r="C37" s="93">
        <v>450</v>
      </c>
      <c r="D37" s="94">
        <v>11.05</v>
      </c>
      <c r="E37" s="23">
        <v>113</v>
      </c>
      <c r="F37" s="198">
        <v>0.85</v>
      </c>
      <c r="G37" s="96">
        <v>0.1</v>
      </c>
      <c r="H37" s="80"/>
      <c r="I37" s="198">
        <f>1*4.43</f>
        <v>4.43</v>
      </c>
      <c r="J37" s="83"/>
      <c r="K37" s="113">
        <v>6.73</v>
      </c>
      <c r="L37" s="234">
        <v>17.2</v>
      </c>
      <c r="M37" s="105">
        <v>0</v>
      </c>
      <c r="N37" s="140">
        <v>310</v>
      </c>
      <c r="O37" s="127">
        <f>N37*0.67</f>
        <v>207.70000000000002</v>
      </c>
      <c r="P37" s="119" t="s">
        <v>22</v>
      </c>
      <c r="R37" s="269">
        <v>19</v>
      </c>
      <c r="S37" s="270">
        <v>19.2</v>
      </c>
      <c r="T37" s="271">
        <v>21</v>
      </c>
      <c r="U37" s="192"/>
      <c r="V37" s="69" t="s">
        <v>36</v>
      </c>
    </row>
    <row r="38" spans="1:21" ht="12.75">
      <c r="A38" s="24"/>
      <c r="B38" s="35">
        <v>2</v>
      </c>
      <c r="C38" s="97"/>
      <c r="D38" s="94">
        <v>11.9</v>
      </c>
      <c r="E38" s="23">
        <v>120</v>
      </c>
      <c r="F38" s="198">
        <v>0.85</v>
      </c>
      <c r="G38" s="96" t="s">
        <v>54</v>
      </c>
      <c r="H38" s="80"/>
      <c r="I38" s="198">
        <f>1*4.43</f>
        <v>4.43</v>
      </c>
      <c r="J38" s="80"/>
      <c r="K38" s="114">
        <v>7</v>
      </c>
      <c r="L38" s="157">
        <v>16.9</v>
      </c>
      <c r="M38" s="105">
        <v>0</v>
      </c>
      <c r="N38" s="140">
        <v>300</v>
      </c>
      <c r="O38" s="127">
        <f>N38*0.67</f>
        <v>201</v>
      </c>
      <c r="P38" s="119" t="s">
        <v>22</v>
      </c>
      <c r="R38" s="263"/>
      <c r="S38" s="264"/>
      <c r="T38" s="265"/>
      <c r="U38" s="192"/>
    </row>
    <row r="39" spans="1:21" ht="12.75">
      <c r="A39" s="26"/>
      <c r="B39" s="35">
        <v>3</v>
      </c>
      <c r="C39" s="97"/>
      <c r="D39" s="94">
        <v>11.9</v>
      </c>
      <c r="E39" s="23">
        <v>124</v>
      </c>
      <c r="F39" s="198">
        <v>2.55</v>
      </c>
      <c r="G39" s="96">
        <v>0.3</v>
      </c>
      <c r="H39" s="80" t="s">
        <v>55</v>
      </c>
      <c r="I39" s="198">
        <f>1*4.43</f>
        <v>4.43</v>
      </c>
      <c r="J39" s="80">
        <v>6.15</v>
      </c>
      <c r="K39" s="114">
        <v>7</v>
      </c>
      <c r="L39" s="104">
        <v>17.9</v>
      </c>
      <c r="M39" s="105">
        <v>0</v>
      </c>
      <c r="N39" s="140">
        <v>305</v>
      </c>
      <c r="O39" s="127">
        <f>N39*0.67</f>
        <v>204.35000000000002</v>
      </c>
      <c r="P39" s="119" t="s">
        <v>22</v>
      </c>
      <c r="R39" s="263"/>
      <c r="S39" s="264"/>
      <c r="T39" s="265"/>
      <c r="U39" s="192"/>
    </row>
    <row r="40" spans="1:21" ht="13.5" thickBot="1">
      <c r="A40" s="28"/>
      <c r="B40" s="37" t="s">
        <v>17</v>
      </c>
      <c r="C40" s="100">
        <f aca="true" t="shared" si="2" ref="C40:J40">AVERAGE(C37:C39)</f>
        <v>450</v>
      </c>
      <c r="D40" s="101">
        <f t="shared" si="2"/>
        <v>11.616666666666667</v>
      </c>
      <c r="E40" s="100">
        <f t="shared" si="2"/>
        <v>119</v>
      </c>
      <c r="F40" s="197">
        <f t="shared" si="2"/>
        <v>1.4166666666666667</v>
      </c>
      <c r="G40" s="102">
        <f t="shared" si="2"/>
        <v>0.2</v>
      </c>
      <c r="H40" s="81" t="s">
        <v>55</v>
      </c>
      <c r="I40" s="102">
        <f>AVERAGE(I37:I39)</f>
        <v>4.43</v>
      </c>
      <c r="J40" s="81">
        <f t="shared" si="2"/>
        <v>6.15</v>
      </c>
      <c r="K40" s="106">
        <f>AVERAGE(K37:K39)</f>
        <v>6.91</v>
      </c>
      <c r="L40" s="107">
        <f>AVERAGE(L37:L39)</f>
        <v>17.333333333333332</v>
      </c>
      <c r="M40" s="101">
        <v>0</v>
      </c>
      <c r="N40" s="143">
        <f>AVERAGE(N37:N39)</f>
        <v>305</v>
      </c>
      <c r="O40" s="249">
        <f>AVERAGE(O37:O39)</f>
        <v>204.35000000000002</v>
      </c>
      <c r="P40" s="120" t="s">
        <v>22</v>
      </c>
      <c r="R40" s="263"/>
      <c r="S40" s="264"/>
      <c r="T40" s="265"/>
      <c r="U40" s="193"/>
    </row>
    <row r="41" spans="1:22" ht="12.75">
      <c r="A41" s="32" t="s">
        <v>19</v>
      </c>
      <c r="B41" s="33">
        <v>1</v>
      </c>
      <c r="C41" s="93">
        <v>370</v>
      </c>
      <c r="D41" s="94">
        <v>11.1</v>
      </c>
      <c r="E41" s="23">
        <v>112</v>
      </c>
      <c r="F41" s="198">
        <v>1.7</v>
      </c>
      <c r="G41" s="195">
        <v>0.2</v>
      </c>
      <c r="H41" s="80"/>
      <c r="I41" s="198">
        <v>1.15</v>
      </c>
      <c r="J41" s="83"/>
      <c r="K41" s="95">
        <v>7.7</v>
      </c>
      <c r="L41" s="95">
        <v>16</v>
      </c>
      <c r="M41" s="96">
        <v>0.3</v>
      </c>
      <c r="N41" s="140">
        <v>335</v>
      </c>
      <c r="O41" s="127">
        <f>N41*0.67</f>
        <v>224.45000000000002</v>
      </c>
      <c r="P41" s="121" t="s">
        <v>22</v>
      </c>
      <c r="R41" s="274"/>
      <c r="S41" s="275"/>
      <c r="T41" s="277"/>
      <c r="U41" s="192"/>
      <c r="V41" s="69" t="s">
        <v>19</v>
      </c>
    </row>
    <row r="42" spans="2:21" ht="12.75">
      <c r="B42" s="35">
        <v>2</v>
      </c>
      <c r="C42" s="97"/>
      <c r="D42" s="98">
        <v>10.2</v>
      </c>
      <c r="E42" s="27">
        <v>102</v>
      </c>
      <c r="F42" s="209">
        <v>2.6</v>
      </c>
      <c r="G42" s="196">
        <v>0.18</v>
      </c>
      <c r="H42" s="80"/>
      <c r="I42" s="196">
        <v>1.15</v>
      </c>
      <c r="J42" s="82"/>
      <c r="K42" s="103">
        <v>7.9</v>
      </c>
      <c r="L42" s="95">
        <v>16.3</v>
      </c>
      <c r="M42" s="105">
        <v>0.4</v>
      </c>
      <c r="N42" s="139">
        <v>335</v>
      </c>
      <c r="O42" s="127">
        <f>N42*0.67</f>
        <v>224.45000000000002</v>
      </c>
      <c r="P42" s="119" t="s">
        <v>22</v>
      </c>
      <c r="R42" s="263"/>
      <c r="S42" s="264"/>
      <c r="T42" s="271"/>
      <c r="U42" s="192"/>
    </row>
    <row r="43" spans="2:21" ht="12.75">
      <c r="B43" s="35">
        <v>3</v>
      </c>
      <c r="C43" s="97"/>
      <c r="D43" s="98">
        <v>10.2</v>
      </c>
      <c r="E43" s="27">
        <v>105</v>
      </c>
      <c r="F43" s="209">
        <v>0</v>
      </c>
      <c r="G43" s="196">
        <v>0.2</v>
      </c>
      <c r="H43" s="80" t="s">
        <v>55</v>
      </c>
      <c r="I43" s="196">
        <v>0.975</v>
      </c>
      <c r="J43" s="83">
        <v>11.1</v>
      </c>
      <c r="K43" s="103">
        <v>8.3</v>
      </c>
      <c r="L43" s="104">
        <v>16.9</v>
      </c>
      <c r="M43" s="105">
        <v>0.4</v>
      </c>
      <c r="N43" s="139">
        <v>335</v>
      </c>
      <c r="O43" s="127">
        <f>N43*0.67</f>
        <v>224.45000000000002</v>
      </c>
      <c r="P43" s="119" t="s">
        <v>22</v>
      </c>
      <c r="R43" s="263"/>
      <c r="S43" s="264"/>
      <c r="T43" s="271"/>
      <c r="U43" s="192"/>
    </row>
    <row r="44" spans="1:21" ht="13.5" thickBot="1">
      <c r="A44" s="26"/>
      <c r="B44" s="35">
        <v>4</v>
      </c>
      <c r="C44" s="97"/>
      <c r="D44" s="98">
        <v>10.2</v>
      </c>
      <c r="E44" s="27">
        <v>110</v>
      </c>
      <c r="F44" s="209">
        <v>0</v>
      </c>
      <c r="G44" s="196" t="s">
        <v>54</v>
      </c>
      <c r="H44" s="81"/>
      <c r="I44" s="196"/>
      <c r="J44" s="82"/>
      <c r="K44" s="104">
        <v>8.53</v>
      </c>
      <c r="L44" s="104">
        <v>19.2</v>
      </c>
      <c r="M44" s="104"/>
      <c r="N44" s="139"/>
      <c r="O44" s="126"/>
      <c r="P44" s="119" t="s">
        <v>22</v>
      </c>
      <c r="R44" s="263"/>
      <c r="S44" s="264"/>
      <c r="T44" s="271"/>
      <c r="U44" s="194" t="s">
        <v>52</v>
      </c>
    </row>
    <row r="45" spans="1:21" ht="13.5" thickBot="1">
      <c r="A45" s="36"/>
      <c r="B45" s="37" t="s">
        <v>17</v>
      </c>
      <c r="C45" s="100">
        <f>AVERAGE(C41:C44)</f>
        <v>370</v>
      </c>
      <c r="D45" s="101">
        <f>AVERAGE(D41:D44)</f>
        <v>10.424999999999999</v>
      </c>
      <c r="E45" s="100">
        <f>AVERAGE(E41:E44)</f>
        <v>107.25</v>
      </c>
      <c r="F45" s="197">
        <f>AVERAGE(F41:F44)</f>
        <v>1.075</v>
      </c>
      <c r="G45" s="197">
        <f>AVERAGE(G41:G44)</f>
        <v>0.19333333333333336</v>
      </c>
      <c r="H45" s="81" t="s">
        <v>55</v>
      </c>
      <c r="I45" s="197">
        <f>AVERAGE(I41:I44)</f>
        <v>1.0916666666666666</v>
      </c>
      <c r="J45" s="81">
        <f>AVERAGE(J42:J44)</f>
        <v>11.1</v>
      </c>
      <c r="K45" s="106">
        <f>AVERAGE(K41:K44)</f>
        <v>8.1075</v>
      </c>
      <c r="L45" s="107">
        <f>AVERAGE(L41:L44)</f>
        <v>17.099999999999998</v>
      </c>
      <c r="M45" s="325">
        <f>AVERAGE(M41:M44)</f>
        <v>0.3666666666666667</v>
      </c>
      <c r="N45" s="143">
        <f>AVERAGE(N41:N44)</f>
        <v>335</v>
      </c>
      <c r="O45" s="249">
        <f>AVERAGE(O41:O44)</f>
        <v>224.45000000000002</v>
      </c>
      <c r="P45" s="120" t="s">
        <v>22</v>
      </c>
      <c r="R45" s="266"/>
      <c r="S45" s="267"/>
      <c r="T45" s="273"/>
      <c r="U45" s="193"/>
    </row>
    <row r="46" spans="1:22" ht="12.75">
      <c r="A46" s="32" t="s">
        <v>37</v>
      </c>
      <c r="B46" s="33">
        <v>1</v>
      </c>
      <c r="C46" s="93">
        <v>1000</v>
      </c>
      <c r="D46" s="94">
        <f>6.5*1.7</f>
        <v>11.049999999999999</v>
      </c>
      <c r="E46" s="23">
        <v>120</v>
      </c>
      <c r="F46" s="219">
        <f>D46-(9*1.7/0.855/2)</f>
        <v>2.102631578947367</v>
      </c>
      <c r="G46" s="132">
        <f>0.22*3</f>
        <v>0.66</v>
      </c>
      <c r="H46" s="80"/>
      <c r="I46" s="202"/>
      <c r="J46" s="84"/>
      <c r="K46" s="95">
        <v>7.1</v>
      </c>
      <c r="L46" s="95">
        <v>19.7</v>
      </c>
      <c r="M46" s="96">
        <v>0</v>
      </c>
      <c r="N46" s="220">
        <v>412</v>
      </c>
      <c r="O46" s="127">
        <f>N46*0.67</f>
        <v>276.04</v>
      </c>
      <c r="P46" s="121">
        <v>20</v>
      </c>
      <c r="R46" s="261">
        <v>19.8</v>
      </c>
      <c r="S46" s="262">
        <v>22.5</v>
      </c>
      <c r="T46" s="272">
        <v>26</v>
      </c>
      <c r="U46" s="192"/>
      <c r="V46" s="69" t="s">
        <v>37</v>
      </c>
    </row>
    <row r="47" spans="1:21" ht="12.75">
      <c r="A47" s="34"/>
      <c r="B47" s="35">
        <v>2</v>
      </c>
      <c r="C47" s="97"/>
      <c r="D47" s="98">
        <f>6.5*1.7</f>
        <v>11.049999999999999</v>
      </c>
      <c r="E47" s="27">
        <v>116</v>
      </c>
      <c r="F47" s="219">
        <f>D47-6*1.7/0.855/2</f>
        <v>5.085087719298245</v>
      </c>
      <c r="G47" s="133">
        <f>0.26*3</f>
        <v>0.78</v>
      </c>
      <c r="H47" s="80"/>
      <c r="I47" s="199">
        <v>6.2</v>
      </c>
      <c r="J47" s="85"/>
      <c r="K47" s="99">
        <v>7.6</v>
      </c>
      <c r="L47" s="99">
        <v>18.5</v>
      </c>
      <c r="M47" s="96">
        <v>0</v>
      </c>
      <c r="N47" s="221">
        <v>387</v>
      </c>
      <c r="O47" s="127">
        <f>N47*0.67</f>
        <v>259.29</v>
      </c>
      <c r="P47" s="122">
        <v>20</v>
      </c>
      <c r="R47" s="263"/>
      <c r="S47" s="264"/>
      <c r="T47" s="271"/>
      <c r="U47" s="192"/>
    </row>
    <row r="48" spans="1:21" ht="12.75">
      <c r="A48" s="38"/>
      <c r="B48" s="35">
        <v>3</v>
      </c>
      <c r="C48" s="97"/>
      <c r="D48" s="98">
        <f>6*1.7</f>
        <v>10.2</v>
      </c>
      <c r="E48" s="27">
        <v>107</v>
      </c>
      <c r="F48" s="219">
        <f>D48-4*1.7/0.855/2</f>
        <v>6.223391812865497</v>
      </c>
      <c r="G48" s="133">
        <f>0.25*3</f>
        <v>0.75</v>
      </c>
      <c r="H48" s="80" t="s">
        <v>55</v>
      </c>
      <c r="I48" s="199">
        <v>6.6</v>
      </c>
      <c r="J48" s="85">
        <v>12.6</v>
      </c>
      <c r="K48" s="99">
        <v>8.2</v>
      </c>
      <c r="L48" s="99">
        <v>18.4</v>
      </c>
      <c r="M48" s="96">
        <v>0</v>
      </c>
      <c r="N48" s="222">
        <v>388</v>
      </c>
      <c r="O48" s="127">
        <f>N48*0.67</f>
        <v>259.96000000000004</v>
      </c>
      <c r="P48" s="123">
        <v>20</v>
      </c>
      <c r="R48" s="263"/>
      <c r="S48" s="264"/>
      <c r="T48" s="271"/>
      <c r="U48" s="192"/>
    </row>
    <row r="49" spans="1:21" ht="13.5" thickBot="1">
      <c r="A49" s="36"/>
      <c r="B49" s="37" t="s">
        <v>17</v>
      </c>
      <c r="C49" s="100">
        <f aca="true" t="shared" si="3" ref="C49:I49">AVERAGE(C46:C48)</f>
        <v>1000</v>
      </c>
      <c r="D49" s="101">
        <f t="shared" si="3"/>
        <v>10.766666666666666</v>
      </c>
      <c r="E49" s="100">
        <f t="shared" si="3"/>
        <v>114.33333333333333</v>
      </c>
      <c r="F49" s="223">
        <f>AVERAGE(F46:F48)</f>
        <v>4.470370370370369</v>
      </c>
      <c r="G49" s="134">
        <f t="shared" si="3"/>
        <v>0.73</v>
      </c>
      <c r="H49" s="81" t="s">
        <v>55</v>
      </c>
      <c r="I49" s="325">
        <f t="shared" si="3"/>
        <v>6.4</v>
      </c>
      <c r="J49" s="81">
        <f>AVERAGE(J46:J48)</f>
        <v>12.6</v>
      </c>
      <c r="K49" s="102">
        <f aca="true" t="shared" si="4" ref="K49:P49">AVERAGE(K46:K48)</f>
        <v>7.633333333333333</v>
      </c>
      <c r="L49" s="102">
        <f t="shared" si="4"/>
        <v>18.866666666666667</v>
      </c>
      <c r="M49" s="102">
        <f t="shared" si="4"/>
        <v>0</v>
      </c>
      <c r="N49" s="224">
        <f t="shared" si="4"/>
        <v>395.6666666666667</v>
      </c>
      <c r="O49" s="250">
        <f t="shared" si="4"/>
        <v>265.0966666666667</v>
      </c>
      <c r="P49" s="124">
        <f t="shared" si="4"/>
        <v>20</v>
      </c>
      <c r="R49" s="266"/>
      <c r="S49" s="267"/>
      <c r="T49" s="273"/>
      <c r="U49" s="193"/>
    </row>
    <row r="50" spans="1:22" ht="12.75">
      <c r="A50" s="32" t="s">
        <v>20</v>
      </c>
      <c r="B50" s="33">
        <v>1</v>
      </c>
      <c r="C50" s="93">
        <v>700</v>
      </c>
      <c r="D50" s="94">
        <f>5*1.7</f>
        <v>8.5</v>
      </c>
      <c r="E50" s="23">
        <v>88</v>
      </c>
      <c r="F50" s="210">
        <f>D50-7*1.7/2</f>
        <v>2.55</v>
      </c>
      <c r="G50" s="132">
        <v>0.163</v>
      </c>
      <c r="H50" s="80"/>
      <c r="I50" s="198">
        <v>2.84</v>
      </c>
      <c r="J50" s="84"/>
      <c r="K50" s="95">
        <v>7.66</v>
      </c>
      <c r="L50" s="95">
        <v>17.1</v>
      </c>
      <c r="M50" s="96">
        <v>0</v>
      </c>
      <c r="N50" s="146">
        <v>378</v>
      </c>
      <c r="O50" s="127">
        <f>N50*0.67</f>
        <v>253.26000000000002</v>
      </c>
      <c r="P50" s="108">
        <v>60</v>
      </c>
      <c r="R50" s="261">
        <v>19.8</v>
      </c>
      <c r="S50" s="262">
        <v>22.6</v>
      </c>
      <c r="T50" s="272">
        <v>26</v>
      </c>
      <c r="U50" s="192"/>
      <c r="V50" s="69" t="s">
        <v>20</v>
      </c>
    </row>
    <row r="51" spans="1:21" ht="12.75">
      <c r="A51" s="34"/>
      <c r="B51" s="35">
        <v>2</v>
      </c>
      <c r="C51" s="97"/>
      <c r="D51" s="98">
        <f>4.5*1.7</f>
        <v>7.6499999999999995</v>
      </c>
      <c r="E51" s="27">
        <v>78</v>
      </c>
      <c r="F51" s="209">
        <f>D51-7*1.7/2</f>
        <v>1.6999999999999993</v>
      </c>
      <c r="G51" s="324">
        <v>0.171</v>
      </c>
      <c r="H51" s="80"/>
      <c r="I51" s="199">
        <v>3.01</v>
      </c>
      <c r="J51" s="85"/>
      <c r="K51" s="99">
        <v>7.67</v>
      </c>
      <c r="L51" s="99">
        <v>17</v>
      </c>
      <c r="M51" s="96">
        <v>0</v>
      </c>
      <c r="N51" s="145">
        <v>377</v>
      </c>
      <c r="O51" s="127">
        <f>N51*0.67</f>
        <v>252.59</v>
      </c>
      <c r="P51" s="109">
        <v>70</v>
      </c>
      <c r="R51" s="73"/>
      <c r="S51" s="54"/>
      <c r="T51" s="74"/>
      <c r="U51" s="192"/>
    </row>
    <row r="52" spans="1:21" ht="12.75">
      <c r="A52" s="38"/>
      <c r="B52" s="35">
        <v>3</v>
      </c>
      <c r="C52" s="97"/>
      <c r="D52" s="98">
        <f>5*1.7</f>
        <v>8.5</v>
      </c>
      <c r="E52" s="27">
        <v>88</v>
      </c>
      <c r="F52" s="209">
        <f>D52-8*1.7/2</f>
        <v>1.7000000000000002</v>
      </c>
      <c r="G52" s="133">
        <v>0.176</v>
      </c>
      <c r="H52" s="80" t="s">
        <v>55</v>
      </c>
      <c r="I52" s="199">
        <v>3.36</v>
      </c>
      <c r="J52" s="85">
        <v>9.19</v>
      </c>
      <c r="K52" s="99">
        <v>7.56</v>
      </c>
      <c r="L52" s="99">
        <v>17.1</v>
      </c>
      <c r="M52" s="96">
        <v>0</v>
      </c>
      <c r="N52" s="145">
        <v>376</v>
      </c>
      <c r="O52" s="127">
        <f>N52*0.67</f>
        <v>251.92000000000002</v>
      </c>
      <c r="P52" s="109">
        <v>80</v>
      </c>
      <c r="R52" s="73"/>
      <c r="S52" s="54"/>
      <c r="T52" s="74"/>
      <c r="U52" s="192"/>
    </row>
    <row r="53" spans="1:21" ht="13.5" thickBot="1">
      <c r="A53" s="39"/>
      <c r="B53" s="37" t="s">
        <v>17</v>
      </c>
      <c r="C53" s="100">
        <f aca="true" t="shared" si="5" ref="C53:I53">AVERAGE(C50:C52)</f>
        <v>700</v>
      </c>
      <c r="D53" s="101">
        <f>AVERAGE(D50:D52)</f>
        <v>8.216666666666667</v>
      </c>
      <c r="E53" s="100">
        <f t="shared" si="5"/>
        <v>84.66666666666667</v>
      </c>
      <c r="F53" s="206">
        <f t="shared" si="5"/>
        <v>1.9833333333333332</v>
      </c>
      <c r="G53" s="134">
        <f>AVERAGE(G50:G52)</f>
        <v>0.17</v>
      </c>
      <c r="H53" s="81" t="s">
        <v>55</v>
      </c>
      <c r="I53" s="197">
        <f t="shared" si="5"/>
        <v>3.07</v>
      </c>
      <c r="J53" s="81">
        <f aca="true" t="shared" si="6" ref="J53:P53">AVERAGE(J50:J52)</f>
        <v>9.19</v>
      </c>
      <c r="K53" s="102">
        <f t="shared" si="6"/>
        <v>7.63</v>
      </c>
      <c r="L53" s="102">
        <f t="shared" si="6"/>
        <v>17.066666666666666</v>
      </c>
      <c r="M53" s="102">
        <f t="shared" si="6"/>
        <v>0</v>
      </c>
      <c r="N53" s="143">
        <f t="shared" si="6"/>
        <v>377</v>
      </c>
      <c r="O53" s="249">
        <f t="shared" si="6"/>
        <v>252.59</v>
      </c>
      <c r="P53" s="120">
        <f t="shared" si="6"/>
        <v>70</v>
      </c>
      <c r="R53" s="75"/>
      <c r="S53" s="76"/>
      <c r="T53" s="77"/>
      <c r="U53" s="193"/>
    </row>
    <row r="54" spans="2:16" ht="13.5" thickBot="1">
      <c r="B54" s="8"/>
      <c r="C54" s="9" t="s">
        <v>0</v>
      </c>
      <c r="D54" s="8" t="s">
        <v>1</v>
      </c>
      <c r="E54" s="8" t="s">
        <v>2</v>
      </c>
      <c r="F54" s="211" t="s">
        <v>1</v>
      </c>
      <c r="G54" s="8" t="s">
        <v>1</v>
      </c>
      <c r="H54" s="79" t="s">
        <v>1</v>
      </c>
      <c r="I54" s="8" t="s">
        <v>1</v>
      </c>
      <c r="J54" s="79" t="s">
        <v>1</v>
      </c>
      <c r="K54" s="8" t="s">
        <v>4</v>
      </c>
      <c r="L54" s="8" t="s">
        <v>5</v>
      </c>
      <c r="M54" s="8" t="s">
        <v>5</v>
      </c>
      <c r="N54" s="136" t="s">
        <v>6</v>
      </c>
      <c r="O54" s="125" t="s">
        <v>1</v>
      </c>
      <c r="P54" s="90" t="s">
        <v>7</v>
      </c>
    </row>
    <row r="55" spans="1:16" ht="25.5" thickBot="1">
      <c r="A55" s="11" t="s">
        <v>8</v>
      </c>
      <c r="B55" s="12" t="s">
        <v>9</v>
      </c>
      <c r="C55" s="13" t="s">
        <v>10</v>
      </c>
      <c r="D55" s="14" t="s">
        <v>58</v>
      </c>
      <c r="E55" s="15" t="s">
        <v>59</v>
      </c>
      <c r="F55" s="208" t="s">
        <v>11</v>
      </c>
      <c r="G55" s="16" t="s">
        <v>42</v>
      </c>
      <c r="H55" s="17" t="s">
        <v>45</v>
      </c>
      <c r="I55" s="18" t="s">
        <v>46</v>
      </c>
      <c r="J55" s="17" t="s">
        <v>46</v>
      </c>
      <c r="K55" s="19" t="s">
        <v>12</v>
      </c>
      <c r="L55" s="20" t="s">
        <v>13</v>
      </c>
      <c r="M55" s="21" t="s">
        <v>14</v>
      </c>
      <c r="N55" s="137" t="s">
        <v>40</v>
      </c>
      <c r="O55" s="117" t="s">
        <v>28</v>
      </c>
      <c r="P55" s="89" t="s">
        <v>15</v>
      </c>
    </row>
    <row r="56" spans="1:22" ht="12.75">
      <c r="A56" s="40" t="s">
        <v>38</v>
      </c>
      <c r="B56" s="33">
        <v>1</v>
      </c>
      <c r="C56" s="93">
        <v>1600</v>
      </c>
      <c r="D56" s="111">
        <v>8.5</v>
      </c>
      <c r="E56" s="112">
        <v>90</v>
      </c>
      <c r="F56" s="199">
        <v>0.85</v>
      </c>
      <c r="G56" s="195">
        <v>0.42</v>
      </c>
      <c r="H56" s="80"/>
      <c r="I56" s="200">
        <v>0.75</v>
      </c>
      <c r="J56" s="86"/>
      <c r="K56" s="115">
        <v>8.25</v>
      </c>
      <c r="L56" s="95">
        <v>18.02</v>
      </c>
      <c r="M56" s="96">
        <v>0</v>
      </c>
      <c r="N56" s="142">
        <v>379</v>
      </c>
      <c r="O56" s="118">
        <f>N56*0.67</f>
        <v>253.93</v>
      </c>
      <c r="P56" s="128">
        <v>40</v>
      </c>
      <c r="R56" s="252">
        <v>17.6</v>
      </c>
      <c r="S56" s="253">
        <v>18.4</v>
      </c>
      <c r="T56" s="254">
        <v>19.03</v>
      </c>
      <c r="U56" s="188"/>
      <c r="V56" s="69" t="s">
        <v>38</v>
      </c>
    </row>
    <row r="57" spans="2:21" ht="12.75">
      <c r="B57" s="35">
        <v>2</v>
      </c>
      <c r="C57" s="97"/>
      <c r="D57" s="99">
        <v>7.65</v>
      </c>
      <c r="E57" s="97">
        <v>82</v>
      </c>
      <c r="F57" s="199">
        <v>0.85</v>
      </c>
      <c r="G57" s="196">
        <v>0.24</v>
      </c>
      <c r="H57" s="80"/>
      <c r="I57" s="201">
        <v>2.66</v>
      </c>
      <c r="J57" s="87"/>
      <c r="K57" s="116">
        <v>8.34</v>
      </c>
      <c r="L57" s="99">
        <v>18.02</v>
      </c>
      <c r="M57" s="96">
        <v>0</v>
      </c>
      <c r="N57" s="140">
        <v>391</v>
      </c>
      <c r="O57" s="118">
        <f>N57*0.67</f>
        <v>261.97</v>
      </c>
      <c r="P57" s="128">
        <v>40</v>
      </c>
      <c r="R57" s="255"/>
      <c r="S57" s="256"/>
      <c r="T57" s="257"/>
      <c r="U57" s="192"/>
    </row>
    <row r="58" spans="1:21" ht="12.75">
      <c r="A58" s="26"/>
      <c r="B58" s="35">
        <v>3</v>
      </c>
      <c r="C58" s="97"/>
      <c r="D58" s="99">
        <v>5.95</v>
      </c>
      <c r="E58" s="97">
        <v>63</v>
      </c>
      <c r="F58" s="199">
        <v>0</v>
      </c>
      <c r="G58" s="196">
        <v>0.28</v>
      </c>
      <c r="H58" s="80" t="s">
        <v>55</v>
      </c>
      <c r="I58" s="201">
        <v>2.57</v>
      </c>
      <c r="J58" s="87">
        <v>11.02</v>
      </c>
      <c r="K58" s="116">
        <v>8.46</v>
      </c>
      <c r="L58" s="99">
        <v>18.01</v>
      </c>
      <c r="M58" s="96">
        <v>0</v>
      </c>
      <c r="N58" s="140">
        <v>434</v>
      </c>
      <c r="O58" s="118">
        <f>N58*0.67</f>
        <v>290.78000000000003</v>
      </c>
      <c r="P58" s="128">
        <v>40</v>
      </c>
      <c r="R58" s="255"/>
      <c r="S58" s="256"/>
      <c r="T58" s="257"/>
      <c r="U58" s="192"/>
    </row>
    <row r="59" spans="1:21" ht="13.5" thickBot="1">
      <c r="A59" s="28"/>
      <c r="B59" s="37" t="s">
        <v>17</v>
      </c>
      <c r="C59" s="100">
        <f>AVERAGE(C56:C58)</f>
        <v>1600</v>
      </c>
      <c r="D59" s="102">
        <f aca="true" t="shared" si="7" ref="D59:K59">AVERAGE(D56:D58)</f>
        <v>7.366666666666666</v>
      </c>
      <c r="E59" s="101">
        <f t="shared" si="7"/>
        <v>78.33333333333333</v>
      </c>
      <c r="F59" s="197">
        <f t="shared" si="7"/>
        <v>0.5666666666666667</v>
      </c>
      <c r="G59" s="197">
        <f t="shared" si="7"/>
        <v>0.3133333333333333</v>
      </c>
      <c r="H59" s="81" t="s">
        <v>55</v>
      </c>
      <c r="I59" s="456">
        <f>AVERAGE(I56:I58)</f>
        <v>1.9933333333333334</v>
      </c>
      <c r="J59" s="81">
        <f>AVERAGE(J56:J58)</f>
        <v>11.02</v>
      </c>
      <c r="K59" s="456">
        <f t="shared" si="7"/>
        <v>8.35</v>
      </c>
      <c r="L59" s="106">
        <f>AVERAGE(L56:L58)</f>
        <v>18.016666666666666</v>
      </c>
      <c r="M59" s="107">
        <f>AVERAGE(M56:M58)</f>
        <v>0</v>
      </c>
      <c r="N59" s="143">
        <f>AVERAGE(N56:N58)</f>
        <v>401.3333333333333</v>
      </c>
      <c r="O59" s="250">
        <f>AVERAGE(O56:O58)</f>
        <v>268.8933333333334</v>
      </c>
      <c r="P59" s="120">
        <f>AVERAGE(P56:P58)</f>
        <v>40</v>
      </c>
      <c r="R59" s="258"/>
      <c r="S59" s="259"/>
      <c r="T59" s="260"/>
      <c r="U59" s="193"/>
    </row>
    <row r="60" spans="1:22" ht="12.75">
      <c r="A60" s="32" t="s">
        <v>39</v>
      </c>
      <c r="B60" s="33">
        <v>1</v>
      </c>
      <c r="C60" s="93">
        <v>1500</v>
      </c>
      <c r="D60" s="94">
        <v>8.5</v>
      </c>
      <c r="E60" s="23">
        <v>91</v>
      </c>
      <c r="F60" s="210">
        <v>5.95</v>
      </c>
      <c r="G60" s="195">
        <v>0.15</v>
      </c>
      <c r="H60" s="80"/>
      <c r="I60" s="225">
        <v>1.77</v>
      </c>
      <c r="J60" s="84"/>
      <c r="K60" s="458">
        <v>7.93</v>
      </c>
      <c r="L60" s="95">
        <v>18.8</v>
      </c>
      <c r="M60" s="96">
        <v>0</v>
      </c>
      <c r="N60" s="146">
        <v>413</v>
      </c>
      <c r="O60" s="127">
        <f>N60*0.67</f>
        <v>276.71000000000004</v>
      </c>
      <c r="P60" s="108">
        <v>35</v>
      </c>
      <c r="R60" s="252">
        <v>18.4</v>
      </c>
      <c r="S60" s="253">
        <v>19.5</v>
      </c>
      <c r="T60" s="254">
        <v>18.8</v>
      </c>
      <c r="U60" s="192"/>
      <c r="V60" s="69" t="s">
        <v>39</v>
      </c>
    </row>
    <row r="61" spans="1:21" ht="12.75">
      <c r="A61" s="34"/>
      <c r="B61" s="35">
        <v>2</v>
      </c>
      <c r="C61" s="97"/>
      <c r="D61" s="98">
        <v>7.65</v>
      </c>
      <c r="E61" s="27">
        <v>82</v>
      </c>
      <c r="F61" s="209">
        <v>0</v>
      </c>
      <c r="G61" s="7">
        <v>0.195</v>
      </c>
      <c r="H61" s="80"/>
      <c r="I61" s="457">
        <v>3.54</v>
      </c>
      <c r="J61" s="85"/>
      <c r="K61" s="459">
        <v>7.92</v>
      </c>
      <c r="L61" s="99">
        <v>18.8</v>
      </c>
      <c r="M61" s="96">
        <v>0</v>
      </c>
      <c r="N61" s="145">
        <v>400</v>
      </c>
      <c r="O61" s="127">
        <f>N61*0.67</f>
        <v>268</v>
      </c>
      <c r="P61" s="109">
        <v>45</v>
      </c>
      <c r="R61" s="255"/>
      <c r="S61" s="256"/>
      <c r="T61" s="257"/>
      <c r="U61" s="192"/>
    </row>
    <row r="62" spans="1:21" ht="12.75">
      <c r="A62" s="38"/>
      <c r="B62" s="35">
        <v>3</v>
      </c>
      <c r="C62" s="97"/>
      <c r="D62" s="98">
        <v>5.95</v>
      </c>
      <c r="E62" s="27">
        <v>64</v>
      </c>
      <c r="F62" s="209">
        <v>0.85</v>
      </c>
      <c r="G62" s="196">
        <v>0.159</v>
      </c>
      <c r="H62" s="80" t="s">
        <v>55</v>
      </c>
      <c r="I62" s="457">
        <v>3.1</v>
      </c>
      <c r="J62" s="85">
        <v>11.84</v>
      </c>
      <c r="K62" s="459">
        <v>7.82</v>
      </c>
      <c r="L62" s="99">
        <v>18.6</v>
      </c>
      <c r="M62" s="96">
        <v>0</v>
      </c>
      <c r="N62" s="145">
        <v>405</v>
      </c>
      <c r="O62" s="127">
        <f>N62*0.67</f>
        <v>271.35</v>
      </c>
      <c r="P62" s="109">
        <v>45</v>
      </c>
      <c r="R62" s="255"/>
      <c r="S62" s="256"/>
      <c r="T62" s="257"/>
      <c r="U62" s="192"/>
    </row>
    <row r="63" spans="1:21" ht="13.5" thickBot="1">
      <c r="A63" s="39"/>
      <c r="B63" s="37" t="s">
        <v>17</v>
      </c>
      <c r="C63" s="100">
        <f>AVERAGE(C60:C62)</f>
        <v>1500</v>
      </c>
      <c r="D63" s="102">
        <f aca="true" t="shared" si="8" ref="D63:K63">AVERAGE(D60:D62)</f>
        <v>7.366666666666666</v>
      </c>
      <c r="E63" s="101">
        <f t="shared" si="8"/>
        <v>79</v>
      </c>
      <c r="F63" s="197">
        <f t="shared" si="8"/>
        <v>2.2666666666666666</v>
      </c>
      <c r="G63" s="197">
        <f t="shared" si="8"/>
        <v>0.168</v>
      </c>
      <c r="H63" s="81" t="s">
        <v>55</v>
      </c>
      <c r="I63" s="456">
        <f>AVERAGE(I60:I62)</f>
        <v>2.8033333333333332</v>
      </c>
      <c r="J63" s="81">
        <f>AVERAGE(J60:J62)</f>
        <v>11.84</v>
      </c>
      <c r="K63" s="456">
        <f t="shared" si="8"/>
        <v>7.890000000000001</v>
      </c>
      <c r="L63" s="106">
        <f>AVERAGE(L60:L62)</f>
        <v>18.733333333333334</v>
      </c>
      <c r="M63" s="107">
        <f>AVERAGE(M60:M62)</f>
        <v>0</v>
      </c>
      <c r="N63" s="143">
        <f>AVERAGE(N60:N62)</f>
        <v>406</v>
      </c>
      <c r="O63" s="250">
        <f>AVERAGE(O60:O62)</f>
        <v>272.02000000000004</v>
      </c>
      <c r="P63" s="120">
        <f>AVERAGE(P60:P62)</f>
        <v>41.666666666666664</v>
      </c>
      <c r="R63" s="258"/>
      <c r="S63" s="259"/>
      <c r="T63" s="260"/>
      <c r="U63" s="193"/>
    </row>
    <row r="64" spans="1:22" ht="12.75">
      <c r="A64" s="40" t="s">
        <v>21</v>
      </c>
      <c r="B64" s="110">
        <v>1</v>
      </c>
      <c r="C64" s="93">
        <v>20</v>
      </c>
      <c r="D64" s="111">
        <f>7*1.7</f>
        <v>11.9</v>
      </c>
      <c r="E64" s="112">
        <v>140</v>
      </c>
      <c r="F64" s="199">
        <f>D64-10*1.7/2</f>
        <v>3.4000000000000004</v>
      </c>
      <c r="G64" s="132">
        <v>0.9</v>
      </c>
      <c r="H64" s="80"/>
      <c r="I64" s="200">
        <v>1.33</v>
      </c>
      <c r="J64" s="84"/>
      <c r="K64" s="115">
        <v>7.65</v>
      </c>
      <c r="L64" s="95">
        <v>21.9</v>
      </c>
      <c r="M64" s="96">
        <v>0</v>
      </c>
      <c r="N64" s="142">
        <v>439</v>
      </c>
      <c r="O64" s="118">
        <f>N64*0.67</f>
        <v>294.13</v>
      </c>
      <c r="P64" s="128">
        <v>40</v>
      </c>
      <c r="R64" s="252">
        <v>17.6</v>
      </c>
      <c r="S64" s="253">
        <v>21.8</v>
      </c>
      <c r="T64" s="254">
        <v>22.3</v>
      </c>
      <c r="U64" s="192"/>
      <c r="V64" s="69" t="s">
        <v>21</v>
      </c>
    </row>
    <row r="65" spans="2:21" ht="12.75">
      <c r="B65" s="35">
        <v>2</v>
      </c>
      <c r="C65" s="97"/>
      <c r="D65" s="99">
        <f>5.5*1.7</f>
        <v>9.35</v>
      </c>
      <c r="E65" s="97">
        <v>106</v>
      </c>
      <c r="F65" s="199">
        <f>D65-2*1.7/2</f>
        <v>7.6499999999999995</v>
      </c>
      <c r="G65" s="133">
        <v>0.86</v>
      </c>
      <c r="H65" s="80"/>
      <c r="I65" s="201">
        <v>0.53</v>
      </c>
      <c r="J65" s="87"/>
      <c r="K65" s="116">
        <v>7.48</v>
      </c>
      <c r="L65" s="99">
        <v>22.3</v>
      </c>
      <c r="M65" s="96">
        <v>0</v>
      </c>
      <c r="N65" s="140">
        <v>436</v>
      </c>
      <c r="O65" s="118">
        <f>N65*0.67</f>
        <v>292.12</v>
      </c>
      <c r="P65" s="128">
        <v>30</v>
      </c>
      <c r="R65" s="73"/>
      <c r="S65" s="54"/>
      <c r="T65" s="74"/>
      <c r="U65" s="192"/>
    </row>
    <row r="66" spans="1:21" ht="12.75">
      <c r="A66" s="26"/>
      <c r="B66" s="35">
        <v>3</v>
      </c>
      <c r="C66" s="97"/>
      <c r="D66" s="99">
        <v>11.05</v>
      </c>
      <c r="E66" s="97">
        <v>127</v>
      </c>
      <c r="F66" s="199">
        <f>D66-8*1.7/2</f>
        <v>4.250000000000001</v>
      </c>
      <c r="G66" s="133">
        <v>0.9</v>
      </c>
      <c r="H66" s="80" t="s">
        <v>55</v>
      </c>
      <c r="I66" s="201">
        <v>0.443</v>
      </c>
      <c r="J66" s="87">
        <v>6.96</v>
      </c>
      <c r="K66" s="116">
        <v>7.47</v>
      </c>
      <c r="L66" s="99">
        <v>22.4</v>
      </c>
      <c r="M66" s="96">
        <v>0</v>
      </c>
      <c r="N66" s="140">
        <v>435</v>
      </c>
      <c r="O66" s="118">
        <f>N66*0.67</f>
        <v>291.45000000000005</v>
      </c>
      <c r="P66" s="128">
        <v>30</v>
      </c>
      <c r="R66" s="73"/>
      <c r="S66" s="54"/>
      <c r="T66" s="74"/>
      <c r="U66" s="192"/>
    </row>
    <row r="67" spans="1:21" ht="13.5" thickBot="1">
      <c r="A67" s="28"/>
      <c r="B67" s="29" t="s">
        <v>17</v>
      </c>
      <c r="C67" s="130">
        <f>AVERAGE(C64:C66)</f>
        <v>20</v>
      </c>
      <c r="D67" s="131">
        <f>AVERAGE(D64:D66)</f>
        <v>10.766666666666666</v>
      </c>
      <c r="E67" s="131">
        <f>AVERAGE(E64:E66)</f>
        <v>124.33333333333333</v>
      </c>
      <c r="F67" s="131">
        <f>AVERAGE(F64:F66)</f>
        <v>5.1000000000000005</v>
      </c>
      <c r="G67" s="134">
        <f>AVERAGE(G64:G66)</f>
        <v>0.8866666666666667</v>
      </c>
      <c r="H67" s="81" t="s">
        <v>55</v>
      </c>
      <c r="I67" s="197">
        <f>AVERAGE(I64:I66)</f>
        <v>0.7676666666666666</v>
      </c>
      <c r="J67" s="88">
        <f>AVERAGE(J64:J66)</f>
        <v>6.96</v>
      </c>
      <c r="K67" s="102">
        <f aca="true" t="shared" si="9" ref="K67:P67">AVERAGE(K64:K66)</f>
        <v>7.533333333333334</v>
      </c>
      <c r="L67" s="102">
        <f t="shared" si="9"/>
        <v>22.2</v>
      </c>
      <c r="M67" s="102">
        <f t="shared" si="9"/>
        <v>0</v>
      </c>
      <c r="N67" s="141">
        <f t="shared" si="9"/>
        <v>436.6666666666667</v>
      </c>
      <c r="O67" s="251">
        <f t="shared" si="9"/>
        <v>292.56666666666666</v>
      </c>
      <c r="P67" s="129">
        <f t="shared" si="9"/>
        <v>33.333333333333336</v>
      </c>
      <c r="R67" s="75"/>
      <c r="S67" s="76"/>
      <c r="T67" s="77"/>
      <c r="U67" s="193"/>
    </row>
    <row r="68" spans="2:16" ht="13.5" thickBot="1">
      <c r="B68" s="8"/>
      <c r="C68" s="9" t="s">
        <v>0</v>
      </c>
      <c r="D68" s="8" t="s">
        <v>1</v>
      </c>
      <c r="E68" s="8" t="s">
        <v>2</v>
      </c>
      <c r="F68" s="211" t="s">
        <v>1</v>
      </c>
      <c r="G68" s="8" t="s">
        <v>1</v>
      </c>
      <c r="H68" s="79" t="s">
        <v>1</v>
      </c>
      <c r="I68" s="8" t="s">
        <v>1</v>
      </c>
      <c r="J68" s="79" t="s">
        <v>1</v>
      </c>
      <c r="K68" s="8" t="s">
        <v>4</v>
      </c>
      <c r="L68" s="8" t="s">
        <v>5</v>
      </c>
      <c r="M68" s="8" t="s">
        <v>5</v>
      </c>
      <c r="N68" s="136" t="s">
        <v>6</v>
      </c>
      <c r="O68" s="125" t="s">
        <v>1</v>
      </c>
      <c r="P68" s="90" t="s">
        <v>7</v>
      </c>
    </row>
    <row r="69" spans="1:16" ht="25.5" thickBot="1">
      <c r="A69" s="11" t="s">
        <v>8</v>
      </c>
      <c r="B69" s="12" t="s">
        <v>9</v>
      </c>
      <c r="C69" s="13" t="s">
        <v>10</v>
      </c>
      <c r="D69" s="14" t="s">
        <v>58</v>
      </c>
      <c r="E69" s="15" t="s">
        <v>59</v>
      </c>
      <c r="F69" s="208" t="s">
        <v>11</v>
      </c>
      <c r="G69" s="16" t="s">
        <v>42</v>
      </c>
      <c r="H69" s="17" t="s">
        <v>45</v>
      </c>
      <c r="I69" s="18" t="s">
        <v>46</v>
      </c>
      <c r="J69" s="17" t="s">
        <v>46</v>
      </c>
      <c r="K69" s="19" t="s">
        <v>12</v>
      </c>
      <c r="L69" s="20" t="s">
        <v>13</v>
      </c>
      <c r="M69" s="21" t="s">
        <v>14</v>
      </c>
      <c r="N69" s="137" t="s">
        <v>53</v>
      </c>
      <c r="O69" s="117" t="s">
        <v>28</v>
      </c>
      <c r="P69" s="89" t="s">
        <v>15</v>
      </c>
    </row>
    <row r="70" spans="8:10" ht="13.5" thickBot="1">
      <c r="H70" s="17" t="s">
        <v>43</v>
      </c>
      <c r="J70" s="17" t="s">
        <v>43</v>
      </c>
    </row>
    <row r="71" spans="8:15" ht="13.5" thickBot="1">
      <c r="H71" s="323"/>
      <c r="J71" s="323"/>
      <c r="N71" s="312"/>
      <c r="O71" s="312"/>
    </row>
    <row r="72" spans="1:22" s="173" customFormat="1" ht="15.75">
      <c r="A72" s="147" t="s">
        <v>31</v>
      </c>
      <c r="F72" s="212"/>
      <c r="H72" s="321" t="s">
        <v>43</v>
      </c>
      <c r="J72" s="321" t="s">
        <v>43</v>
      </c>
      <c r="N72" s="319" t="s">
        <v>80</v>
      </c>
      <c r="O72" s="320" t="s">
        <v>81</v>
      </c>
      <c r="V72" s="174"/>
    </row>
    <row r="73" spans="8:15" ht="12.75">
      <c r="H73" s="322" t="s">
        <v>44</v>
      </c>
      <c r="J73" s="322" t="s">
        <v>44</v>
      </c>
      <c r="N73" s="317" t="s">
        <v>44</v>
      </c>
      <c r="O73" s="318" t="s">
        <v>44</v>
      </c>
    </row>
    <row r="74" spans="1:16" ht="24.75" thickBot="1">
      <c r="A74" s="231"/>
      <c r="B74" s="13"/>
      <c r="C74" s="13" t="s">
        <v>10</v>
      </c>
      <c r="D74" s="13" t="s">
        <v>58</v>
      </c>
      <c r="E74" s="13" t="s">
        <v>41</v>
      </c>
      <c r="F74" s="13" t="s">
        <v>11</v>
      </c>
      <c r="G74" s="13" t="s">
        <v>42</v>
      </c>
      <c r="H74" s="290" t="s">
        <v>42</v>
      </c>
      <c r="I74" s="291" t="s">
        <v>46</v>
      </c>
      <c r="J74" s="292" t="s">
        <v>46</v>
      </c>
      <c r="K74" s="13" t="s">
        <v>12</v>
      </c>
      <c r="L74" s="13" t="s">
        <v>13</v>
      </c>
      <c r="M74" s="13" t="s">
        <v>69</v>
      </c>
      <c r="N74" s="288" t="s">
        <v>53</v>
      </c>
      <c r="O74" s="289" t="s">
        <v>70</v>
      </c>
      <c r="P74" s="13" t="s">
        <v>15</v>
      </c>
    </row>
    <row r="75" spans="1:16" ht="18.75" customHeight="1" thickBot="1">
      <c r="A75" s="244" t="s">
        <v>8</v>
      </c>
      <c r="B75" s="9" t="s">
        <v>72</v>
      </c>
      <c r="C75" s="9" t="s">
        <v>0</v>
      </c>
      <c r="D75" s="9" t="s">
        <v>1</v>
      </c>
      <c r="E75" s="9" t="s">
        <v>2</v>
      </c>
      <c r="F75" s="9" t="s">
        <v>1</v>
      </c>
      <c r="G75" s="9" t="s">
        <v>1</v>
      </c>
      <c r="H75" s="293" t="s">
        <v>66</v>
      </c>
      <c r="I75" s="294" t="s">
        <v>1</v>
      </c>
      <c r="J75" s="293" t="s">
        <v>1</v>
      </c>
      <c r="K75" s="295" t="s">
        <v>68</v>
      </c>
      <c r="L75" s="295" t="s">
        <v>5</v>
      </c>
      <c r="M75" s="295" t="s">
        <v>5</v>
      </c>
      <c r="N75" s="296" t="s">
        <v>71</v>
      </c>
      <c r="O75" s="127" t="s">
        <v>1</v>
      </c>
      <c r="P75" s="295" t="s">
        <v>7</v>
      </c>
    </row>
    <row r="76" spans="1:16" ht="12.75">
      <c r="A76" s="237" t="s">
        <v>16</v>
      </c>
      <c r="B76" s="237"/>
      <c r="C76" s="238">
        <f aca="true" t="shared" si="10" ref="C76:O76">C32</f>
        <v>90</v>
      </c>
      <c r="D76" s="239">
        <f t="shared" si="10"/>
        <v>12.466666666666667</v>
      </c>
      <c r="E76" s="240">
        <f t="shared" si="10"/>
        <v>129.33333333333334</v>
      </c>
      <c r="F76" s="241">
        <f t="shared" si="10"/>
        <v>0.8500000000000002</v>
      </c>
      <c r="G76" s="241">
        <f t="shared" si="10"/>
        <v>0.369</v>
      </c>
      <c r="H76" s="183" t="str">
        <f t="shared" si="10"/>
        <v>&lt;1,0</v>
      </c>
      <c r="I76" s="241">
        <f t="shared" si="10"/>
        <v>1.24</v>
      </c>
      <c r="J76" s="183">
        <f t="shared" si="10"/>
        <v>0.3</v>
      </c>
      <c r="K76" s="242">
        <f t="shared" si="10"/>
        <v>6.583333333333333</v>
      </c>
      <c r="L76" s="242">
        <f t="shared" si="10"/>
        <v>18.333333333333332</v>
      </c>
      <c r="M76" s="239">
        <f t="shared" si="10"/>
        <v>0</v>
      </c>
      <c r="N76" s="246">
        <f t="shared" si="10"/>
        <v>251</v>
      </c>
      <c r="O76" s="245">
        <f t="shared" si="10"/>
        <v>168.17000000000002</v>
      </c>
      <c r="P76" s="243" t="s">
        <v>22</v>
      </c>
    </row>
    <row r="77" spans="1:16" ht="15" customHeight="1">
      <c r="A77" s="229" t="s">
        <v>18</v>
      </c>
      <c r="B77" s="229"/>
      <c r="C77" s="226">
        <f>C33</f>
        <v>700</v>
      </c>
      <c r="D77" s="153">
        <f aca="true" t="shared" si="11" ref="D77:O77">D36</f>
        <v>10.483333333333333</v>
      </c>
      <c r="E77" s="154">
        <f t="shared" si="11"/>
        <v>101</v>
      </c>
      <c r="F77" s="156">
        <f t="shared" si="11"/>
        <v>0.566666666666667</v>
      </c>
      <c r="G77" s="156">
        <f t="shared" si="11"/>
        <v>0.075</v>
      </c>
      <c r="H77" s="152" t="str">
        <f t="shared" si="11"/>
        <v>&lt;1,0</v>
      </c>
      <c r="I77" s="156">
        <f t="shared" si="11"/>
        <v>1.6233333333333333</v>
      </c>
      <c r="J77" s="152">
        <f t="shared" si="11"/>
        <v>7.52</v>
      </c>
      <c r="K77" s="155">
        <f t="shared" si="11"/>
        <v>7.933333333333334</v>
      </c>
      <c r="L77" s="155">
        <f t="shared" si="11"/>
        <v>14.199999999999998</v>
      </c>
      <c r="M77" s="153">
        <f t="shared" si="11"/>
        <v>0</v>
      </c>
      <c r="N77" s="247">
        <f t="shared" si="11"/>
        <v>324.3333333333333</v>
      </c>
      <c r="O77" s="168">
        <f t="shared" si="11"/>
        <v>217.30333333333337</v>
      </c>
      <c r="P77" s="160" t="s">
        <v>27</v>
      </c>
    </row>
    <row r="78" spans="1:16" ht="15" customHeight="1">
      <c r="A78" s="229" t="s">
        <v>36</v>
      </c>
      <c r="B78" s="229"/>
      <c r="C78" s="226">
        <f aca="true" t="shared" si="12" ref="C78:P78">C40</f>
        <v>450</v>
      </c>
      <c r="D78" s="153">
        <f t="shared" si="12"/>
        <v>11.616666666666667</v>
      </c>
      <c r="E78" s="154">
        <f t="shared" si="12"/>
        <v>119</v>
      </c>
      <c r="F78" s="156">
        <f t="shared" si="12"/>
        <v>1.4166666666666667</v>
      </c>
      <c r="G78" s="156">
        <f t="shared" si="12"/>
        <v>0.2</v>
      </c>
      <c r="H78" s="152" t="str">
        <f t="shared" si="12"/>
        <v>&lt;1,0</v>
      </c>
      <c r="I78" s="156">
        <f t="shared" si="12"/>
        <v>4.43</v>
      </c>
      <c r="J78" s="152">
        <f t="shared" si="12"/>
        <v>6.15</v>
      </c>
      <c r="K78" s="155">
        <f t="shared" si="12"/>
        <v>6.91</v>
      </c>
      <c r="L78" s="155">
        <f t="shared" si="12"/>
        <v>17.333333333333332</v>
      </c>
      <c r="M78" s="153">
        <f t="shared" si="12"/>
        <v>0</v>
      </c>
      <c r="N78" s="247">
        <f t="shared" si="12"/>
        <v>305</v>
      </c>
      <c r="O78" s="168">
        <f t="shared" si="12"/>
        <v>204.35000000000002</v>
      </c>
      <c r="P78" s="160" t="str">
        <f t="shared" si="12"/>
        <v>&gt;120</v>
      </c>
    </row>
    <row r="79" spans="1:16" ht="12.75">
      <c r="A79" s="230" t="s">
        <v>19</v>
      </c>
      <c r="B79" s="230"/>
      <c r="C79" s="226">
        <f aca="true" t="shared" si="13" ref="C79:O79">C45</f>
        <v>370</v>
      </c>
      <c r="D79" s="153">
        <f t="shared" si="13"/>
        <v>10.424999999999999</v>
      </c>
      <c r="E79" s="154">
        <f t="shared" si="13"/>
        <v>107.25</v>
      </c>
      <c r="F79" s="156">
        <f t="shared" si="13"/>
        <v>1.075</v>
      </c>
      <c r="G79" s="156">
        <f t="shared" si="13"/>
        <v>0.19333333333333336</v>
      </c>
      <c r="H79" s="152" t="str">
        <f t="shared" si="13"/>
        <v>&lt;1,0</v>
      </c>
      <c r="I79" s="156">
        <f t="shared" si="13"/>
        <v>1.0916666666666666</v>
      </c>
      <c r="J79" s="152">
        <f t="shared" si="13"/>
        <v>11.1</v>
      </c>
      <c r="K79" s="155">
        <f t="shared" si="13"/>
        <v>8.1075</v>
      </c>
      <c r="L79" s="153">
        <f t="shared" si="13"/>
        <v>17.099999999999998</v>
      </c>
      <c r="M79" s="153">
        <f t="shared" si="13"/>
        <v>0.3666666666666667</v>
      </c>
      <c r="N79" s="247">
        <f t="shared" si="13"/>
        <v>335</v>
      </c>
      <c r="O79" s="168">
        <f t="shared" si="13"/>
        <v>224.45000000000002</v>
      </c>
      <c r="P79" s="160" t="s">
        <v>22</v>
      </c>
    </row>
    <row r="80" spans="1:16" ht="12.75">
      <c r="A80" s="230" t="s">
        <v>37</v>
      </c>
      <c r="B80" s="230"/>
      <c r="C80" s="226">
        <f aca="true" t="shared" si="14" ref="C80:P80">C49</f>
        <v>1000</v>
      </c>
      <c r="D80" s="153">
        <f t="shared" si="14"/>
        <v>10.766666666666666</v>
      </c>
      <c r="E80" s="158">
        <f t="shared" si="14"/>
        <v>114.33333333333333</v>
      </c>
      <c r="F80" s="156">
        <f t="shared" si="14"/>
        <v>4.470370370370369</v>
      </c>
      <c r="G80" s="156">
        <f t="shared" si="14"/>
        <v>0.73</v>
      </c>
      <c r="H80" s="152" t="str">
        <f t="shared" si="14"/>
        <v>&lt;1,0</v>
      </c>
      <c r="I80" s="233">
        <f t="shared" si="14"/>
        <v>6.4</v>
      </c>
      <c r="J80" s="152">
        <f t="shared" si="14"/>
        <v>12.6</v>
      </c>
      <c r="K80" s="155">
        <f t="shared" si="14"/>
        <v>7.633333333333333</v>
      </c>
      <c r="L80" s="153">
        <f t="shared" si="14"/>
        <v>18.866666666666667</v>
      </c>
      <c r="M80" s="155">
        <f t="shared" si="14"/>
        <v>0</v>
      </c>
      <c r="N80" s="247">
        <f t="shared" si="14"/>
        <v>395.6666666666667</v>
      </c>
      <c r="O80" s="168">
        <f t="shared" si="14"/>
        <v>265.0966666666667</v>
      </c>
      <c r="P80" s="161">
        <f t="shared" si="14"/>
        <v>20</v>
      </c>
    </row>
    <row r="81" spans="1:16" ht="12.75">
      <c r="A81" s="230" t="s">
        <v>20</v>
      </c>
      <c r="B81" s="230"/>
      <c r="C81" s="226">
        <f aca="true" t="shared" si="15" ref="C81:P81">C53</f>
        <v>700</v>
      </c>
      <c r="D81" s="153">
        <f t="shared" si="15"/>
        <v>8.216666666666667</v>
      </c>
      <c r="E81" s="154">
        <f t="shared" si="15"/>
        <v>84.66666666666667</v>
      </c>
      <c r="F81" s="156">
        <f t="shared" si="15"/>
        <v>1.9833333333333332</v>
      </c>
      <c r="G81" s="156">
        <f t="shared" si="15"/>
        <v>0.17</v>
      </c>
      <c r="H81" s="152" t="str">
        <f t="shared" si="15"/>
        <v>&lt;1,0</v>
      </c>
      <c r="I81" s="156">
        <f t="shared" si="15"/>
        <v>3.07</v>
      </c>
      <c r="J81" s="152">
        <f t="shared" si="15"/>
        <v>9.19</v>
      </c>
      <c r="K81" s="155">
        <f t="shared" si="15"/>
        <v>7.63</v>
      </c>
      <c r="L81" s="155">
        <f t="shared" si="15"/>
        <v>17.066666666666666</v>
      </c>
      <c r="M81" s="155">
        <f t="shared" si="15"/>
        <v>0</v>
      </c>
      <c r="N81" s="247">
        <f t="shared" si="15"/>
        <v>377</v>
      </c>
      <c r="O81" s="168">
        <f t="shared" si="15"/>
        <v>252.59</v>
      </c>
      <c r="P81" s="162">
        <f t="shared" si="15"/>
        <v>70</v>
      </c>
    </row>
    <row r="82" spans="1:16" ht="12.75">
      <c r="A82" s="230" t="s">
        <v>38</v>
      </c>
      <c r="B82" s="230"/>
      <c r="C82" s="227">
        <f aca="true" t="shared" si="16" ref="C82:P82">C59</f>
        <v>1600</v>
      </c>
      <c r="D82" s="185">
        <f t="shared" si="16"/>
        <v>7.366666666666666</v>
      </c>
      <c r="E82" s="186">
        <f t="shared" si="16"/>
        <v>78.33333333333333</v>
      </c>
      <c r="F82" s="213">
        <f t="shared" si="16"/>
        <v>0.5666666666666667</v>
      </c>
      <c r="G82" s="213">
        <f t="shared" si="16"/>
        <v>0.3133333333333333</v>
      </c>
      <c r="H82" s="152" t="str">
        <f t="shared" si="16"/>
        <v>&lt;1,0</v>
      </c>
      <c r="I82" s="213">
        <f t="shared" si="16"/>
        <v>1.9933333333333334</v>
      </c>
      <c r="J82" s="152">
        <f t="shared" si="16"/>
        <v>11.02</v>
      </c>
      <c r="K82" s="187">
        <f t="shared" si="16"/>
        <v>8.35</v>
      </c>
      <c r="L82" s="187">
        <f t="shared" si="16"/>
        <v>18.016666666666666</v>
      </c>
      <c r="M82" s="185">
        <f t="shared" si="16"/>
        <v>0</v>
      </c>
      <c r="N82" s="144">
        <f t="shared" si="16"/>
        <v>401.3333333333333</v>
      </c>
      <c r="O82" s="168">
        <f t="shared" si="16"/>
        <v>268.8933333333334</v>
      </c>
      <c r="P82" s="189">
        <f t="shared" si="16"/>
        <v>40</v>
      </c>
    </row>
    <row r="83" spans="1:16" ht="12.75">
      <c r="A83" s="230" t="s">
        <v>39</v>
      </c>
      <c r="B83" s="230"/>
      <c r="C83" s="227">
        <f aca="true" t="shared" si="17" ref="C83:L83">C63</f>
        <v>1500</v>
      </c>
      <c r="D83" s="185">
        <f t="shared" si="17"/>
        <v>7.366666666666666</v>
      </c>
      <c r="E83" s="186">
        <f t="shared" si="17"/>
        <v>79</v>
      </c>
      <c r="F83" s="213">
        <f t="shared" si="17"/>
        <v>2.2666666666666666</v>
      </c>
      <c r="G83" s="213">
        <f t="shared" si="17"/>
        <v>0.168</v>
      </c>
      <c r="H83" s="152" t="str">
        <f t="shared" si="17"/>
        <v>&lt;1,0</v>
      </c>
      <c r="I83" s="213">
        <f t="shared" si="17"/>
        <v>2.8033333333333332</v>
      </c>
      <c r="J83" s="152">
        <f t="shared" si="17"/>
        <v>11.84</v>
      </c>
      <c r="K83" s="187">
        <f t="shared" si="17"/>
        <v>7.890000000000001</v>
      </c>
      <c r="L83" s="187">
        <f t="shared" si="17"/>
        <v>18.733333333333334</v>
      </c>
      <c r="M83" s="185">
        <f>M59</f>
        <v>0</v>
      </c>
      <c r="N83" s="144">
        <f>N63</f>
        <v>406</v>
      </c>
      <c r="O83" s="168">
        <f>O63</f>
        <v>272.02000000000004</v>
      </c>
      <c r="P83" s="189">
        <f>P63</f>
        <v>41.666666666666664</v>
      </c>
    </row>
    <row r="84" spans="1:16" ht="13.5" thickBot="1">
      <c r="A84" s="232" t="s">
        <v>21</v>
      </c>
      <c r="B84" s="232"/>
      <c r="C84" s="228">
        <f>C67</f>
        <v>20</v>
      </c>
      <c r="D84" s="163">
        <f>D67</f>
        <v>10.766666666666666</v>
      </c>
      <c r="E84" s="164">
        <f>D67:E67</f>
        <v>124.33333333333333</v>
      </c>
      <c r="F84" s="166">
        <f aca="true" t="shared" si="18" ref="F84:P84">F67</f>
        <v>5.1000000000000005</v>
      </c>
      <c r="G84" s="166">
        <f t="shared" si="18"/>
        <v>0.8866666666666667</v>
      </c>
      <c r="H84" s="165" t="str">
        <f t="shared" si="18"/>
        <v>&lt;1,0</v>
      </c>
      <c r="I84" s="166">
        <f t="shared" si="18"/>
        <v>0.7676666666666666</v>
      </c>
      <c r="J84" s="165">
        <f t="shared" si="18"/>
        <v>6.96</v>
      </c>
      <c r="K84" s="164">
        <f t="shared" si="18"/>
        <v>7.533333333333334</v>
      </c>
      <c r="L84" s="164">
        <f t="shared" si="18"/>
        <v>22.2</v>
      </c>
      <c r="M84" s="164">
        <f t="shared" si="18"/>
        <v>0</v>
      </c>
      <c r="N84" s="248">
        <f t="shared" si="18"/>
        <v>436.6666666666667</v>
      </c>
      <c r="O84" s="169">
        <f t="shared" si="18"/>
        <v>292.56666666666666</v>
      </c>
      <c r="P84" s="167">
        <f t="shared" si="18"/>
        <v>33.333333333333336</v>
      </c>
    </row>
    <row r="85" spans="1:16" ht="12.75">
      <c r="A85" s="55"/>
      <c r="B85" s="55"/>
      <c r="C85" s="57"/>
      <c r="D85" s="45"/>
      <c r="E85" s="46"/>
      <c r="F85" s="215"/>
      <c r="G85" s="215"/>
      <c r="P85" s="57"/>
    </row>
    <row r="86" spans="1:6" ht="12.75">
      <c r="A86" s="55"/>
      <c r="B86" s="57"/>
      <c r="C86" s="45"/>
      <c r="D86" s="46"/>
      <c r="E86" s="215"/>
      <c r="F86" s="215"/>
    </row>
    <row r="87" spans="1:15" ht="12.75">
      <c r="A87" s="55"/>
      <c r="B87" s="57"/>
      <c r="C87" s="45"/>
      <c r="D87" s="46"/>
      <c r="E87" s="215"/>
      <c r="F87" s="215"/>
      <c r="J87" s="46"/>
      <c r="K87" s="46"/>
      <c r="L87" s="65"/>
      <c r="M87" s="215"/>
      <c r="N87" s="54"/>
      <c r="O87" s="57"/>
    </row>
    <row r="88" spans="1:15" ht="12.75">
      <c r="A88" s="55"/>
      <c r="B88" s="57"/>
      <c r="C88" s="45"/>
      <c r="D88" s="46"/>
      <c r="E88" s="215"/>
      <c r="F88" s="215"/>
      <c r="J88" s="46"/>
      <c r="K88" s="46"/>
      <c r="L88" s="65"/>
      <c r="M88" s="215"/>
      <c r="N88" s="54"/>
      <c r="O88" s="57"/>
    </row>
    <row r="89" spans="1:15" ht="15.75">
      <c r="A89" s="147" t="s">
        <v>32</v>
      </c>
      <c r="B89" s="57"/>
      <c r="C89" s="45"/>
      <c r="D89" s="46"/>
      <c r="E89" s="215"/>
      <c r="F89" s="215"/>
      <c r="J89" s="46"/>
      <c r="K89" s="46"/>
      <c r="L89" s="65"/>
      <c r="M89" s="215"/>
      <c r="N89" s="54"/>
      <c r="O89" s="57"/>
    </row>
    <row r="90" spans="1:15" ht="12.75">
      <c r="A90" s="55"/>
      <c r="B90" s="57"/>
      <c r="C90" s="45"/>
      <c r="D90" s="46"/>
      <c r="E90" s="215"/>
      <c r="F90" s="215"/>
      <c r="J90" s="46"/>
      <c r="K90" s="46"/>
      <c r="L90" s="65"/>
      <c r="M90" s="215"/>
      <c r="N90" s="54"/>
      <c r="O90" s="57"/>
    </row>
    <row r="91" spans="1:15" ht="12.75">
      <c r="A91" s="55"/>
      <c r="B91" s="57"/>
      <c r="C91" s="45"/>
      <c r="D91" s="46"/>
      <c r="E91" s="215"/>
      <c r="F91" s="215"/>
      <c r="J91" s="46"/>
      <c r="K91" s="46"/>
      <c r="L91" s="65"/>
      <c r="M91" s="215"/>
      <c r="N91" s="54"/>
      <c r="O91" s="57"/>
    </row>
    <row r="92" spans="1:15" ht="12.75">
      <c r="A92" s="55"/>
      <c r="B92" s="57"/>
      <c r="C92" s="45"/>
      <c r="D92" s="46"/>
      <c r="E92" s="215"/>
      <c r="F92" s="215"/>
      <c r="J92" s="46"/>
      <c r="K92" s="46"/>
      <c r="L92" s="65"/>
      <c r="M92" s="215"/>
      <c r="N92" s="54"/>
      <c r="O92" s="57"/>
    </row>
    <row r="93" spans="1:15" ht="12.75">
      <c r="A93" s="55"/>
      <c r="B93" s="57"/>
      <c r="C93" s="45"/>
      <c r="D93" s="46"/>
      <c r="E93" s="215"/>
      <c r="F93" s="215"/>
      <c r="J93" s="46"/>
      <c r="K93" s="46"/>
      <c r="L93" s="65"/>
      <c r="M93" s="215"/>
      <c r="N93" s="54"/>
      <c r="O93" s="57"/>
    </row>
    <row r="94" spans="1:15" ht="12.75">
      <c r="A94" s="55"/>
      <c r="B94" s="57"/>
      <c r="C94" s="45"/>
      <c r="D94" s="46"/>
      <c r="E94" s="215"/>
      <c r="F94" s="215"/>
      <c r="J94" s="46"/>
      <c r="K94" s="46"/>
      <c r="L94" s="65"/>
      <c r="M94" s="215"/>
      <c r="N94" s="54"/>
      <c r="O94" s="57"/>
    </row>
    <row r="95" spans="1:15" ht="12.75">
      <c r="A95" s="55"/>
      <c r="B95" s="57"/>
      <c r="C95" s="45"/>
      <c r="D95" s="46"/>
      <c r="E95" s="215"/>
      <c r="F95" s="215"/>
      <c r="J95" s="46"/>
      <c r="K95" s="46"/>
      <c r="L95" s="65"/>
      <c r="M95" s="215"/>
      <c r="N95" s="54"/>
      <c r="O95" s="57"/>
    </row>
    <row r="96" spans="1:15" ht="12.75">
      <c r="A96" s="55"/>
      <c r="B96" s="57"/>
      <c r="C96" s="45"/>
      <c r="D96" s="46"/>
      <c r="E96" s="215"/>
      <c r="F96" s="215"/>
      <c r="J96" s="46"/>
      <c r="K96" s="46"/>
      <c r="L96" s="65"/>
      <c r="M96" s="215"/>
      <c r="N96" s="54"/>
      <c r="O96" s="57"/>
    </row>
    <row r="97" spans="1:15" ht="12.75">
      <c r="A97" s="55"/>
      <c r="B97" s="57"/>
      <c r="C97" s="45"/>
      <c r="D97" s="46"/>
      <c r="E97" s="215"/>
      <c r="F97" s="215"/>
      <c r="J97" s="46"/>
      <c r="K97" s="46"/>
      <c r="L97" s="62"/>
      <c r="M97" s="215"/>
      <c r="N97" s="54"/>
      <c r="O97" s="57"/>
    </row>
    <row r="98" spans="3:16" ht="12.75">
      <c r="C98" s="54"/>
      <c r="D98" s="54"/>
      <c r="E98" s="54"/>
      <c r="F98" s="214"/>
      <c r="G98" s="54"/>
      <c r="J98" s="46"/>
      <c r="K98" s="46"/>
      <c r="L98" s="54"/>
      <c r="M98" s="54"/>
      <c r="N98" s="54"/>
      <c r="O98" s="54"/>
      <c r="P98" s="54"/>
    </row>
    <row r="99" spans="3:16" ht="15">
      <c r="C99" s="49"/>
      <c r="D99" s="43"/>
      <c r="E99" s="159"/>
      <c r="F99" s="215"/>
      <c r="G99" s="65"/>
      <c r="J99" s="46"/>
      <c r="K99" s="46"/>
      <c r="L99" s="45"/>
      <c r="M99" s="45"/>
      <c r="N99" s="62"/>
      <c r="O99" s="44"/>
      <c r="P99" s="44"/>
    </row>
    <row r="100" spans="3:22" s="173" customFormat="1" ht="15.75">
      <c r="C100" s="175"/>
      <c r="D100" s="176"/>
      <c r="E100" s="177"/>
      <c r="F100" s="216"/>
      <c r="G100" s="178"/>
      <c r="J100" s="46"/>
      <c r="K100" s="46"/>
      <c r="L100" s="179"/>
      <c r="M100" s="179"/>
      <c r="N100" s="180"/>
      <c r="O100" s="181"/>
      <c r="P100" s="181"/>
      <c r="V100" s="174"/>
    </row>
    <row r="101" spans="3:16" ht="12.75">
      <c r="C101" s="54"/>
      <c r="D101" s="54"/>
      <c r="E101" s="54"/>
      <c r="F101" s="214"/>
      <c r="G101" s="54"/>
      <c r="J101" s="46"/>
      <c r="K101" s="46"/>
      <c r="L101" s="54"/>
      <c r="M101" s="54"/>
      <c r="N101" s="54"/>
      <c r="O101" s="54"/>
      <c r="P101" s="54"/>
    </row>
    <row r="102" spans="3:18" ht="12.75">
      <c r="C102" s="64"/>
      <c r="D102" s="43"/>
      <c r="E102" s="58"/>
      <c r="F102" s="215"/>
      <c r="G102" s="63"/>
      <c r="L102" s="45"/>
      <c r="M102" s="45"/>
      <c r="N102" s="62"/>
      <c r="O102" s="44"/>
      <c r="P102" s="44"/>
      <c r="R102" t="s">
        <v>23</v>
      </c>
    </row>
    <row r="103" spans="3:16" ht="12.75">
      <c r="C103" s="66"/>
      <c r="D103" s="43"/>
      <c r="E103" s="58"/>
      <c r="F103" s="215"/>
      <c r="G103" s="63"/>
      <c r="L103" s="45"/>
      <c r="M103" s="45"/>
      <c r="N103" s="62"/>
      <c r="O103" s="44"/>
      <c r="P103" s="44"/>
    </row>
    <row r="104" spans="3:16" ht="12.75">
      <c r="C104" s="41"/>
      <c r="D104" s="43"/>
      <c r="E104" s="58"/>
      <c r="F104" s="215"/>
      <c r="G104" s="63"/>
      <c r="L104" s="45"/>
      <c r="M104" s="45"/>
      <c r="N104" s="62"/>
      <c r="O104" s="44"/>
      <c r="P104" s="44"/>
    </row>
    <row r="105" spans="3:16" ht="12.75">
      <c r="C105" s="41"/>
      <c r="D105" s="43"/>
      <c r="E105" s="58"/>
      <c r="F105" s="215"/>
      <c r="G105" s="63"/>
      <c r="L105" s="45"/>
      <c r="M105" s="45"/>
      <c r="N105" s="62"/>
      <c r="O105" s="44"/>
      <c r="P105" s="44"/>
    </row>
    <row r="106" spans="3:16" ht="12.75">
      <c r="C106" s="41"/>
      <c r="D106" s="43"/>
      <c r="E106" s="56"/>
      <c r="F106" s="217"/>
      <c r="G106" s="63"/>
      <c r="L106" s="62"/>
      <c r="M106" s="62"/>
      <c r="N106" s="62"/>
      <c r="O106" s="44"/>
      <c r="P106" s="44"/>
    </row>
    <row r="107" spans="3:16" ht="12.75">
      <c r="C107" s="51"/>
      <c r="D107" s="53"/>
      <c r="E107" s="52"/>
      <c r="F107" s="218"/>
      <c r="G107" s="52"/>
      <c r="L107" s="52"/>
      <c r="M107" s="52"/>
      <c r="N107" s="52"/>
      <c r="O107" s="53"/>
      <c r="P107" s="53"/>
    </row>
    <row r="108" spans="3:16" ht="12.75">
      <c r="C108" s="54"/>
      <c r="D108" s="54"/>
      <c r="E108" s="54"/>
      <c r="F108" s="214"/>
      <c r="G108" s="54"/>
      <c r="L108" s="54"/>
      <c r="M108" s="54"/>
      <c r="N108" s="54"/>
      <c r="O108" s="54"/>
      <c r="P108" s="54"/>
    </row>
    <row r="109" spans="3:16" ht="12.75">
      <c r="C109" s="48"/>
      <c r="D109" s="57" t="s">
        <v>86</v>
      </c>
      <c r="E109" s="58"/>
      <c r="F109" s="215"/>
      <c r="G109" s="56"/>
      <c r="L109" s="45"/>
      <c r="M109" s="45"/>
      <c r="N109" s="46"/>
      <c r="O109" s="44"/>
      <c r="P109" s="44"/>
    </row>
    <row r="110" spans="3:16" ht="12.75">
      <c r="C110" s="66"/>
      <c r="D110" s="57"/>
      <c r="E110" s="58"/>
      <c r="F110" s="215"/>
      <c r="G110" s="56"/>
      <c r="L110" s="45"/>
      <c r="M110" s="45"/>
      <c r="N110" s="46"/>
      <c r="O110" s="44"/>
      <c r="P110" s="44"/>
    </row>
    <row r="111" spans="3:16" ht="12.75">
      <c r="C111" s="49"/>
      <c r="D111" s="57"/>
      <c r="E111" s="58"/>
      <c r="F111" s="215"/>
      <c r="G111" s="56"/>
      <c r="L111" s="45"/>
      <c r="M111" s="45"/>
      <c r="N111" s="46"/>
      <c r="O111" s="44"/>
      <c r="P111" s="50"/>
    </row>
    <row r="112" spans="3:16" ht="12.75">
      <c r="C112" s="41"/>
      <c r="D112" s="57"/>
      <c r="E112" s="58"/>
      <c r="F112" s="215"/>
      <c r="G112" s="56"/>
      <c r="L112" s="45"/>
      <c r="M112" s="45"/>
      <c r="N112" s="46"/>
      <c r="O112" s="44"/>
      <c r="P112" s="44"/>
    </row>
    <row r="113" spans="3:16" ht="12.75">
      <c r="C113" s="41"/>
      <c r="D113" s="57"/>
      <c r="E113" s="58"/>
      <c r="F113" s="215"/>
      <c r="G113" s="56"/>
      <c r="L113" s="45"/>
      <c r="M113" s="45"/>
      <c r="N113" s="46"/>
      <c r="O113" s="44"/>
      <c r="P113" s="44"/>
    </row>
    <row r="114" spans="3:16" ht="12.75">
      <c r="C114" s="41"/>
      <c r="D114" s="53"/>
      <c r="E114" s="52"/>
      <c r="F114" s="218"/>
      <c r="G114" s="52"/>
      <c r="L114" s="52"/>
      <c r="M114" s="52"/>
      <c r="N114" s="52"/>
      <c r="O114" s="53"/>
      <c r="P114" s="53"/>
    </row>
    <row r="115" spans="3:16" ht="12.75">
      <c r="C115" s="54"/>
      <c r="D115" s="54"/>
      <c r="E115" s="54"/>
      <c r="F115" s="214"/>
      <c r="G115" s="54"/>
      <c r="L115" s="54"/>
      <c r="M115" s="54"/>
      <c r="N115" s="54"/>
      <c r="O115" s="54"/>
      <c r="P115" s="54"/>
    </row>
    <row r="116" spans="3:16" ht="12.75">
      <c r="C116" s="48"/>
      <c r="D116" s="56"/>
      <c r="E116" s="58"/>
      <c r="F116" s="215"/>
      <c r="G116" s="45"/>
      <c r="L116" s="45"/>
      <c r="M116" s="45"/>
      <c r="N116" s="46"/>
      <c r="O116" s="44"/>
      <c r="P116" s="44"/>
    </row>
    <row r="117" spans="3:16" ht="12.75">
      <c r="C117" s="66"/>
      <c r="D117" s="56"/>
      <c r="E117" s="58"/>
      <c r="F117" s="215"/>
      <c r="G117" s="45"/>
      <c r="L117" s="45"/>
      <c r="M117" s="45"/>
      <c r="N117" s="46"/>
      <c r="O117" s="44"/>
      <c r="P117" s="44"/>
    </row>
    <row r="118" spans="3:16" ht="12.75">
      <c r="C118" s="49"/>
      <c r="D118" s="57"/>
      <c r="E118" s="58"/>
      <c r="F118" s="215"/>
      <c r="G118" s="45"/>
      <c r="L118" s="45"/>
      <c r="M118" s="45"/>
      <c r="N118" s="46"/>
      <c r="O118" s="44"/>
      <c r="P118" s="44"/>
    </row>
    <row r="119" spans="3:16" ht="12.75">
      <c r="C119" s="67"/>
      <c r="D119" s="56"/>
      <c r="E119" s="58"/>
      <c r="F119" s="215"/>
      <c r="G119" s="56"/>
      <c r="L119" s="45"/>
      <c r="M119" s="45"/>
      <c r="N119" s="46"/>
      <c r="O119" s="44"/>
      <c r="P119" s="44"/>
    </row>
    <row r="120" spans="3:16" ht="12.75">
      <c r="C120" s="67"/>
      <c r="D120" s="56"/>
      <c r="E120" s="58"/>
      <c r="F120" s="215"/>
      <c r="G120" s="56"/>
      <c r="L120" s="45"/>
      <c r="M120" s="45"/>
      <c r="N120" s="46"/>
      <c r="O120" s="44"/>
      <c r="P120" s="44"/>
    </row>
    <row r="121" spans="3:16" ht="12.75">
      <c r="C121" s="67"/>
      <c r="D121" s="53"/>
      <c r="E121" s="52"/>
      <c r="F121" s="218"/>
      <c r="G121" s="52"/>
      <c r="L121" s="52"/>
      <c r="M121" s="52"/>
      <c r="N121" s="52"/>
      <c r="O121" s="53"/>
      <c r="P121" s="53"/>
    </row>
    <row r="122" spans="3:16" ht="12.75">
      <c r="C122" s="54"/>
      <c r="D122" s="54"/>
      <c r="E122" s="54"/>
      <c r="F122" s="214"/>
      <c r="G122" s="54"/>
      <c r="L122" s="54"/>
      <c r="M122" s="54"/>
      <c r="N122" s="54"/>
      <c r="O122" s="54"/>
      <c r="P122" s="54"/>
    </row>
    <row r="123" spans="3:16" ht="12.75">
      <c r="C123" s="54"/>
      <c r="D123" s="57"/>
      <c r="E123" s="58"/>
      <c r="F123" s="217"/>
      <c r="G123" s="45"/>
      <c r="L123" s="46"/>
      <c r="M123" s="45"/>
      <c r="N123" s="59"/>
      <c r="O123" s="47"/>
      <c r="P123" s="47"/>
    </row>
    <row r="124" spans="3:16" ht="12.75">
      <c r="C124" s="60"/>
      <c r="D124" s="57"/>
      <c r="E124" s="58"/>
      <c r="F124" s="217"/>
      <c r="G124" s="45"/>
      <c r="L124" s="46"/>
      <c r="M124" s="45"/>
      <c r="N124" s="59"/>
      <c r="O124" s="47"/>
      <c r="P124" s="44"/>
    </row>
    <row r="125" spans="3:16" ht="12.75">
      <c r="C125" s="68"/>
      <c r="D125" s="57"/>
      <c r="E125" s="58"/>
      <c r="F125" s="217"/>
      <c r="G125" s="45"/>
      <c r="L125" s="46"/>
      <c r="M125" s="45"/>
      <c r="N125" s="59"/>
      <c r="O125" s="47"/>
      <c r="P125" s="44"/>
    </row>
    <row r="126" spans="3:16" ht="12.75">
      <c r="C126" s="55"/>
      <c r="D126" s="57"/>
      <c r="E126" s="58"/>
      <c r="F126" s="217"/>
      <c r="G126" s="45"/>
      <c r="L126" s="46"/>
      <c r="M126" s="45"/>
      <c r="N126" s="59"/>
      <c r="O126" s="47"/>
      <c r="P126" s="44"/>
    </row>
    <row r="127" spans="3:16" ht="12.75">
      <c r="C127" s="55"/>
      <c r="D127" s="57"/>
      <c r="E127" s="58"/>
      <c r="F127" s="217"/>
      <c r="G127" s="45"/>
      <c r="L127" s="46"/>
      <c r="M127" s="45"/>
      <c r="N127" s="59"/>
      <c r="O127" s="47"/>
      <c r="P127" s="44"/>
    </row>
    <row r="128" spans="3:16" ht="12.75">
      <c r="C128" s="61"/>
      <c r="D128" s="53"/>
      <c r="E128" s="52"/>
      <c r="F128" s="218"/>
      <c r="G128" s="52"/>
      <c r="L128" s="52"/>
      <c r="M128" s="52"/>
      <c r="N128" s="52"/>
      <c r="O128" s="53"/>
      <c r="P128" s="53"/>
    </row>
    <row r="129" spans="3:16" ht="12.75">
      <c r="C129" s="54"/>
      <c r="D129" s="54"/>
      <c r="E129" s="54"/>
      <c r="F129" s="214"/>
      <c r="G129" s="54"/>
      <c r="L129" s="54"/>
      <c r="M129" s="54"/>
      <c r="N129" s="54"/>
      <c r="O129" s="54"/>
      <c r="P129" s="54"/>
    </row>
    <row r="140" spans="11:13" ht="12.75">
      <c r="K140" s="516" t="s">
        <v>196</v>
      </c>
      <c r="L140" s="516"/>
      <c r="M140" s="516"/>
    </row>
    <row r="141" spans="11:13" ht="12.75">
      <c r="K141" s="516"/>
      <c r="L141" s="516"/>
      <c r="M141" s="516"/>
    </row>
    <row r="142" spans="11:13" ht="12.75">
      <c r="K142" s="516"/>
      <c r="L142" s="516"/>
      <c r="M142" s="516"/>
    </row>
    <row r="143" spans="11:13" ht="12.75">
      <c r="K143" s="516"/>
      <c r="L143" s="516"/>
      <c r="M143" s="516"/>
    </row>
    <row r="144" spans="11:13" ht="12.75">
      <c r="K144" s="516" t="s">
        <v>197</v>
      </c>
      <c r="L144" s="516"/>
      <c r="M144" s="516"/>
    </row>
    <row r="145" spans="11:13" ht="12.75">
      <c r="K145" s="516"/>
      <c r="L145" s="516"/>
      <c r="M145" s="516"/>
    </row>
    <row r="146" spans="11:13" ht="12.75">
      <c r="K146" s="516"/>
      <c r="L146" s="516"/>
      <c r="M146" s="516"/>
    </row>
    <row r="147" spans="11:13" ht="12.75">
      <c r="K147" s="516"/>
      <c r="L147" s="516"/>
      <c r="M147" s="516"/>
    </row>
    <row r="177" spans="13:15" ht="12.75">
      <c r="M177" s="515" t="s">
        <v>192</v>
      </c>
      <c r="N177" s="515"/>
      <c r="O177" s="515"/>
    </row>
    <row r="178" spans="13:15" ht="12.75">
      <c r="M178" s="515"/>
      <c r="N178" s="515"/>
      <c r="O178" s="515"/>
    </row>
    <row r="179" spans="13:15" ht="12.75">
      <c r="M179" s="515"/>
      <c r="N179" s="515"/>
      <c r="O179" s="515"/>
    </row>
    <row r="180" spans="13:15" ht="12.75">
      <c r="M180" s="515"/>
      <c r="N180" s="515"/>
      <c r="O180" s="515"/>
    </row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326" ht="12.75" customHeight="1"/>
  </sheetData>
  <sheetProtection selectLockedCells="1" selectUnlockedCells="1"/>
  <mergeCells count="5">
    <mergeCell ref="R28:T28"/>
    <mergeCell ref="R19:T19"/>
    <mergeCell ref="M177:O180"/>
    <mergeCell ref="K140:M143"/>
    <mergeCell ref="K144:M14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09"/>
  <sheetViews>
    <sheetView zoomScalePageLayoutView="0" workbookViewId="0" topLeftCell="A1">
      <selection activeCell="F4" sqref="F4"/>
    </sheetView>
  </sheetViews>
  <sheetFormatPr defaultColWidth="9.140625" defaultRowHeight="12.75"/>
  <cols>
    <col min="3" max="3" width="14.421875" style="0" bestFit="1" customWidth="1"/>
    <col min="4" max="4" width="11.7109375" style="0" customWidth="1"/>
    <col min="5" max="5" width="12.57421875" style="0" customWidth="1"/>
    <col min="6" max="6" width="14.421875" style="0" bestFit="1" customWidth="1"/>
    <col min="7" max="7" width="15.00390625" style="0" customWidth="1"/>
    <col min="8" max="9" width="17.00390625" style="0" customWidth="1"/>
    <col min="12" max="12" width="13.57421875" style="0" customWidth="1"/>
    <col min="13" max="13" width="15.421875" style="0" customWidth="1"/>
    <col min="14" max="14" width="11.8515625" style="0" customWidth="1"/>
    <col min="15" max="15" width="16.57421875" style="0" customWidth="1"/>
    <col min="16" max="16" width="8.140625" style="0" customWidth="1"/>
    <col min="17" max="17" width="7.8515625" style="0" customWidth="1"/>
    <col min="18" max="18" width="7.57421875" style="0" customWidth="1"/>
    <col min="19" max="19" width="8.57421875" style="0" customWidth="1"/>
    <col min="20" max="20" width="8.421875" style="69" customWidth="1"/>
    <col min="21" max="21" width="8.140625" style="0" customWidth="1"/>
    <col min="22" max="22" width="9.00390625" style="0" customWidth="1"/>
    <col min="23" max="23" width="8.00390625" style="0" customWidth="1"/>
    <col min="24" max="24" width="7.7109375" style="0" customWidth="1"/>
    <col min="25" max="25" width="8.28125" style="0" customWidth="1"/>
    <col min="26" max="26" width="8.00390625" style="0" customWidth="1"/>
    <col min="27" max="27" width="7.421875" style="0" customWidth="1"/>
  </cols>
  <sheetData>
    <row r="1" ht="12.75"/>
    <row r="2" ht="12.75">
      <c r="C2" s="78"/>
    </row>
    <row r="3" ht="12.75"/>
    <row r="4" ht="12.75"/>
    <row r="5" ht="12.75"/>
    <row r="6" ht="12.75"/>
    <row r="8" ht="15.75">
      <c r="A8" s="1" t="s">
        <v>34</v>
      </c>
    </row>
    <row r="9" spans="1:7" ht="15.75">
      <c r="A9" s="1" t="s">
        <v>57</v>
      </c>
      <c r="B9" s="2"/>
      <c r="C9" s="7"/>
      <c r="D9" s="3"/>
      <c r="E9" s="3"/>
      <c r="F9" s="3"/>
      <c r="G9" s="2"/>
    </row>
    <row r="10" spans="1:20" s="377" customFormat="1" ht="20.25">
      <c r="A10" s="368" t="s">
        <v>74</v>
      </c>
      <c r="B10" s="369"/>
      <c r="C10" s="374"/>
      <c r="D10" s="370"/>
      <c r="E10" s="370"/>
      <c r="F10" s="370"/>
      <c r="G10" s="369"/>
      <c r="T10" s="378"/>
    </row>
    <row r="11" spans="1:7" ht="15.75">
      <c r="A11" s="1"/>
      <c r="B11" s="2"/>
      <c r="C11" s="7"/>
      <c r="D11" s="3"/>
      <c r="E11" s="3"/>
      <c r="F11" s="3"/>
      <c r="G11" s="2"/>
    </row>
    <row r="12" spans="1:13" ht="15.75">
      <c r="A12" s="1"/>
      <c r="B12" s="2"/>
      <c r="C12" s="7"/>
      <c r="D12" s="3"/>
      <c r="E12" s="3"/>
      <c r="F12" s="3"/>
      <c r="G12" s="2"/>
      <c r="H12" s="3"/>
      <c r="I12" s="3"/>
      <c r="J12" s="71"/>
      <c r="K12" s="2"/>
      <c r="L12" s="2"/>
      <c r="M12" s="54"/>
    </row>
    <row r="13" spans="1:13" ht="15.75">
      <c r="A13" s="1"/>
      <c r="B13" s="2"/>
      <c r="C13" s="7"/>
      <c r="D13" s="3"/>
      <c r="E13" s="3"/>
      <c r="F13" s="3"/>
      <c r="G13" s="2"/>
      <c r="H13" s="3"/>
      <c r="I13" s="3"/>
      <c r="J13" s="71"/>
      <c r="K13" s="2"/>
      <c r="L13" s="2"/>
      <c r="M13" s="54"/>
    </row>
    <row r="14" spans="1:13" ht="15.75">
      <c r="A14" s="1" t="s">
        <v>29</v>
      </c>
      <c r="B14" s="2"/>
      <c r="C14" s="7"/>
      <c r="D14" s="3"/>
      <c r="E14" s="3"/>
      <c r="F14" s="3"/>
      <c r="G14" s="2"/>
      <c r="H14" s="3"/>
      <c r="I14" s="3"/>
      <c r="J14" s="71"/>
      <c r="K14" s="2"/>
      <c r="L14" s="2"/>
      <c r="M14" s="54"/>
    </row>
    <row r="15" spans="1:13" ht="15.75">
      <c r="A15" s="92" t="s">
        <v>223</v>
      </c>
      <c r="B15" s="2"/>
      <c r="C15" s="7"/>
      <c r="D15" s="3"/>
      <c r="E15" s="3"/>
      <c r="F15" s="3"/>
      <c r="G15" s="2"/>
      <c r="H15" s="3"/>
      <c r="I15" s="3"/>
      <c r="J15" s="71"/>
      <c r="K15" s="2"/>
      <c r="L15" s="2"/>
      <c r="M15" s="54"/>
    </row>
    <row r="16" spans="1:13" ht="15.75">
      <c r="A16" s="92" t="s">
        <v>124</v>
      </c>
      <c r="B16" s="2"/>
      <c r="C16" s="7"/>
      <c r="D16" s="3"/>
      <c r="E16" s="3"/>
      <c r="F16" s="3"/>
      <c r="G16" s="2"/>
      <c r="H16" s="3"/>
      <c r="I16" s="3"/>
      <c r="J16" s="71"/>
      <c r="K16" s="2"/>
      <c r="L16" s="2"/>
      <c r="M16" s="54"/>
    </row>
    <row r="17" spans="1:13" ht="15.75">
      <c r="A17" s="92" t="s">
        <v>76</v>
      </c>
      <c r="B17" s="2"/>
      <c r="C17" s="7"/>
      <c r="D17" s="3"/>
      <c r="E17" s="3"/>
      <c r="F17" s="3"/>
      <c r="G17" s="2"/>
      <c r="H17" s="3"/>
      <c r="I17" s="3"/>
      <c r="J17" s="71"/>
      <c r="K17" s="2"/>
      <c r="L17" s="2"/>
      <c r="M17" s="54"/>
    </row>
    <row r="18" spans="1:13" ht="15.75">
      <c r="A18" s="92" t="s">
        <v>77</v>
      </c>
      <c r="B18" s="2"/>
      <c r="C18" s="7"/>
      <c r="D18" s="3"/>
      <c r="E18" s="3"/>
      <c r="F18" s="3"/>
      <c r="G18" s="2"/>
      <c r="H18" s="3"/>
      <c r="I18" s="3"/>
      <c r="J18" s="71"/>
      <c r="K18" s="2"/>
      <c r="L18" s="2"/>
      <c r="M18" s="54"/>
    </row>
    <row r="19" spans="1:13" ht="15.75">
      <c r="A19" s="92" t="s">
        <v>222</v>
      </c>
      <c r="B19" s="2"/>
      <c r="C19" s="7"/>
      <c r="D19" s="3"/>
      <c r="E19" s="3"/>
      <c r="F19" s="3"/>
      <c r="G19" s="2"/>
      <c r="H19" s="3"/>
      <c r="I19" s="3"/>
      <c r="J19" s="71"/>
      <c r="K19" s="2"/>
      <c r="L19" s="2"/>
      <c r="M19" s="54"/>
    </row>
    <row r="20" spans="1:13" ht="15.75">
      <c r="A20" s="92"/>
      <c r="B20" s="2"/>
      <c r="C20" s="7"/>
      <c r="D20" s="3"/>
      <c r="E20" s="3"/>
      <c r="F20" s="3"/>
      <c r="G20" s="2"/>
      <c r="H20" s="3"/>
      <c r="I20" s="3"/>
      <c r="J20" s="71"/>
      <c r="K20" s="2"/>
      <c r="L20" s="2"/>
      <c r="M20" s="54"/>
    </row>
    <row r="21" spans="1:13" ht="15.75">
      <c r="A21" s="147" t="s">
        <v>75</v>
      </c>
      <c r="B21" s="2"/>
      <c r="C21" s="7"/>
      <c r="D21" s="3"/>
      <c r="E21" s="3"/>
      <c r="F21" s="3"/>
      <c r="G21" s="2"/>
      <c r="H21" s="3"/>
      <c r="I21" s="3"/>
      <c r="J21" s="71"/>
      <c r="K21" s="2"/>
      <c r="L21" s="2"/>
      <c r="M21" s="54"/>
    </row>
    <row r="22" spans="1:18" ht="15.75">
      <c r="A22" s="92"/>
      <c r="B22" s="2"/>
      <c r="C22" s="7"/>
      <c r="D22" s="3"/>
      <c r="E22" s="3"/>
      <c r="F22" s="3"/>
      <c r="G22" s="2"/>
      <c r="H22" s="3"/>
      <c r="I22" s="3"/>
      <c r="J22" s="71"/>
      <c r="K22" s="2"/>
      <c r="L22" s="2"/>
      <c r="M22" s="54"/>
      <c r="P22" s="514"/>
      <c r="Q22" s="514"/>
      <c r="R22" s="514"/>
    </row>
    <row r="24" spans="3:20" s="173" customFormat="1" ht="15.75">
      <c r="C24" s="282" t="s">
        <v>62</v>
      </c>
      <c r="D24" s="518" t="s">
        <v>63</v>
      </c>
      <c r="E24" s="519"/>
      <c r="F24" s="282" t="s">
        <v>62</v>
      </c>
      <c r="G24" s="518" t="s">
        <v>63</v>
      </c>
      <c r="H24" s="519"/>
      <c r="I24" s="68"/>
      <c r="L24" s="520" t="s">
        <v>78</v>
      </c>
      <c r="M24" s="521"/>
      <c r="N24" s="521"/>
      <c r="O24" s="522"/>
      <c r="T24" s="174"/>
    </row>
    <row r="25" spans="1:20" s="173" customFormat="1" ht="15.75">
      <c r="A25" s="147"/>
      <c r="T25" s="174"/>
    </row>
    <row r="26" spans="1:20" s="173" customFormat="1" ht="15.75">
      <c r="A26" s="147"/>
      <c r="C26" s="285" t="s">
        <v>79</v>
      </c>
      <c r="D26" s="411" t="s">
        <v>44</v>
      </c>
      <c r="E26" s="412" t="s">
        <v>60</v>
      </c>
      <c r="F26" s="285" t="s">
        <v>79</v>
      </c>
      <c r="G26" s="411" t="s">
        <v>44</v>
      </c>
      <c r="H26" s="412" t="s">
        <v>60</v>
      </c>
      <c r="I26" s="412" t="s">
        <v>60</v>
      </c>
      <c r="L26" s="412" t="s">
        <v>60</v>
      </c>
      <c r="M26" s="412" t="s">
        <v>60</v>
      </c>
      <c r="N26" s="412" t="s">
        <v>60</v>
      </c>
      <c r="O26" s="412" t="s">
        <v>60</v>
      </c>
      <c r="T26" s="174"/>
    </row>
    <row r="27" spans="3:15" ht="12.75">
      <c r="C27" s="316" t="s">
        <v>67</v>
      </c>
      <c r="D27" s="411" t="s">
        <v>3</v>
      </c>
      <c r="E27" s="412" t="s">
        <v>3</v>
      </c>
      <c r="F27" s="316" t="s">
        <v>67</v>
      </c>
      <c r="G27" s="411" t="s">
        <v>3</v>
      </c>
      <c r="H27" s="412" t="s">
        <v>3</v>
      </c>
      <c r="I27" s="412" t="s">
        <v>3</v>
      </c>
      <c r="L27" s="412" t="s">
        <v>3</v>
      </c>
      <c r="M27" s="412" t="s">
        <v>3</v>
      </c>
      <c r="N27" s="412" t="s">
        <v>3</v>
      </c>
      <c r="O27" s="412" t="s">
        <v>3</v>
      </c>
    </row>
    <row r="28" spans="1:15" ht="16.5" thickBot="1">
      <c r="A28" s="78"/>
      <c r="C28" s="285" t="s">
        <v>42</v>
      </c>
      <c r="D28" s="411" t="s">
        <v>42</v>
      </c>
      <c r="E28" s="412" t="s">
        <v>42</v>
      </c>
      <c r="F28" s="413" t="s">
        <v>46</v>
      </c>
      <c r="G28" s="411" t="s">
        <v>46</v>
      </c>
      <c r="H28" s="412" t="s">
        <v>46</v>
      </c>
      <c r="I28" s="412" t="s">
        <v>225</v>
      </c>
      <c r="J28" s="3"/>
      <c r="K28" s="3"/>
      <c r="L28" s="414" t="s">
        <v>42</v>
      </c>
      <c r="M28" s="414" t="s">
        <v>46</v>
      </c>
      <c r="N28" s="414" t="s">
        <v>64</v>
      </c>
      <c r="O28" s="414" t="s">
        <v>65</v>
      </c>
    </row>
    <row r="29" spans="1:15" ht="16.5" thickBot="1">
      <c r="A29" s="170" t="s">
        <v>8</v>
      </c>
      <c r="C29" s="286" t="s">
        <v>1</v>
      </c>
      <c r="D29" s="415" t="s">
        <v>66</v>
      </c>
      <c r="E29" s="416" t="s">
        <v>1</v>
      </c>
      <c r="F29" s="286" t="s">
        <v>1</v>
      </c>
      <c r="G29" s="415" t="s">
        <v>1</v>
      </c>
      <c r="H29" s="416" t="s">
        <v>1</v>
      </c>
      <c r="I29" s="416" t="s">
        <v>1</v>
      </c>
      <c r="J29" s="3"/>
      <c r="K29" s="3"/>
      <c r="L29" s="419" t="s">
        <v>1</v>
      </c>
      <c r="M29" s="419" t="s">
        <v>1</v>
      </c>
      <c r="N29" s="419" t="s">
        <v>1</v>
      </c>
      <c r="O29" s="419" t="s">
        <v>1</v>
      </c>
    </row>
    <row r="30" spans="1:15" ht="16.5" thickBot="1">
      <c r="A30" s="171" t="s">
        <v>16</v>
      </c>
      <c r="C30" s="241">
        <f>'pm2018-27-04-2018-risultati'!G76</f>
        <v>0.369</v>
      </c>
      <c r="D30" s="183" t="str">
        <f>'pm2018-27-04-2018-risultati'!H76</f>
        <v>&lt;1,0</v>
      </c>
      <c r="E30" s="280" t="s">
        <v>61</v>
      </c>
      <c r="F30" s="241">
        <f>'pm2018-27-04-2018-risultati'!I76</f>
        <v>1.24</v>
      </c>
      <c r="G30" s="484">
        <f>'pm2018-27-04-2018-risultati'!J76</f>
        <v>0.3</v>
      </c>
      <c r="H30" s="479">
        <v>5.5</v>
      </c>
      <c r="I30" s="414">
        <f>H30/4.43</f>
        <v>1.2415349887133185</v>
      </c>
      <c r="J30" s="3"/>
      <c r="K30" t="s">
        <v>16</v>
      </c>
      <c r="L30" s="417" t="s">
        <v>61</v>
      </c>
      <c r="M30" s="417">
        <v>5.5</v>
      </c>
      <c r="N30" s="418">
        <v>6.41</v>
      </c>
      <c r="O30" s="418">
        <v>9.94</v>
      </c>
    </row>
    <row r="31" spans="1:15" ht="16.5" thickBot="1">
      <c r="A31" s="171" t="s">
        <v>18</v>
      </c>
      <c r="C31" s="156">
        <f>'pm2018-27-04-2018-risultati'!G77</f>
        <v>0.075</v>
      </c>
      <c r="D31" s="152" t="str">
        <f>'pm2018-27-04-2018-risultati'!H77</f>
        <v>&lt;1,0</v>
      </c>
      <c r="E31" s="281" t="s">
        <v>61</v>
      </c>
      <c r="F31" s="156">
        <f>'pm2018-27-04-2018-risultati'!I77</f>
        <v>1.6233333333333333</v>
      </c>
      <c r="G31" s="152">
        <f>'pm2018-27-04-2018-risultati'!J77</f>
        <v>7.52</v>
      </c>
      <c r="H31" s="480">
        <v>8.72</v>
      </c>
      <c r="I31" s="414">
        <f aca="true" t="shared" si="0" ref="I31:I38">H31/4.43</f>
        <v>1.9683972911963885</v>
      </c>
      <c r="J31" s="3"/>
      <c r="K31" t="s">
        <v>18</v>
      </c>
      <c r="L31" s="315" t="s">
        <v>61</v>
      </c>
      <c r="M31" s="315">
        <v>8.72</v>
      </c>
      <c r="N31" s="315">
        <v>18.9</v>
      </c>
      <c r="O31" s="315">
        <v>26</v>
      </c>
    </row>
    <row r="32" spans="1:15" ht="16.5" thickBot="1">
      <c r="A32" s="171" t="s">
        <v>36</v>
      </c>
      <c r="C32" s="156">
        <f>'pm2018-27-04-2018-risultati'!G78</f>
        <v>0.2</v>
      </c>
      <c r="D32" s="152" t="str">
        <f>'pm2018-27-04-2018-risultati'!H78</f>
        <v>&lt;1,0</v>
      </c>
      <c r="E32" s="281" t="s">
        <v>61</v>
      </c>
      <c r="F32" s="156">
        <f>'pm2018-27-04-2018-risultati'!I78</f>
        <v>4.43</v>
      </c>
      <c r="G32" s="152">
        <f>'pm2018-27-04-2018-risultati'!J78</f>
        <v>6.15</v>
      </c>
      <c r="H32" s="480">
        <v>6.63</v>
      </c>
      <c r="I32" s="414">
        <f t="shared" si="0"/>
        <v>1.4966139954853275</v>
      </c>
      <c r="J32" s="3"/>
      <c r="K32" t="s">
        <v>36</v>
      </c>
      <c r="L32" s="315" t="s">
        <v>61</v>
      </c>
      <c r="M32" s="315">
        <v>6.63</v>
      </c>
      <c r="N32" s="315">
        <v>9.57</v>
      </c>
      <c r="O32" s="315">
        <v>13.3</v>
      </c>
    </row>
    <row r="33" spans="1:15" ht="16.5" thickBot="1">
      <c r="A33" s="172" t="s">
        <v>19</v>
      </c>
      <c r="C33" s="156">
        <f>'pm2018-27-04-2018-risultati'!G79</f>
        <v>0.19333333333333336</v>
      </c>
      <c r="D33" s="152" t="str">
        <f>'pm2018-27-04-2018-risultati'!H79</f>
        <v>&lt;1,0</v>
      </c>
      <c r="E33" s="281" t="s">
        <v>61</v>
      </c>
      <c r="F33" s="156">
        <f>'pm2018-27-04-2018-risultati'!I79</f>
        <v>1.0916666666666666</v>
      </c>
      <c r="G33" s="152">
        <f>'pm2018-27-04-2018-risultati'!J79</f>
        <v>11.1</v>
      </c>
      <c r="H33" s="480">
        <v>7.54</v>
      </c>
      <c r="I33" s="414">
        <f t="shared" si="0"/>
        <v>1.7020316027088038</v>
      </c>
      <c r="J33" s="3"/>
      <c r="K33" t="s">
        <v>19</v>
      </c>
      <c r="L33" s="315" t="s">
        <v>61</v>
      </c>
      <c r="M33" s="315">
        <v>7.54</v>
      </c>
      <c r="N33" s="315">
        <v>9.32</v>
      </c>
      <c r="O33" s="315">
        <v>12.7</v>
      </c>
    </row>
    <row r="34" spans="1:15" ht="16.5" thickBot="1">
      <c r="A34" s="172" t="s">
        <v>37</v>
      </c>
      <c r="C34" s="156">
        <f>'pm2018-27-04-2018-risultati'!G80</f>
        <v>0.73</v>
      </c>
      <c r="D34" s="152" t="str">
        <f>'pm2018-27-04-2018-risultati'!H80</f>
        <v>&lt;1,0</v>
      </c>
      <c r="E34" s="281">
        <v>0.17</v>
      </c>
      <c r="F34" s="233">
        <f>'pm2018-27-04-2018-risultati'!I80</f>
        <v>6.4</v>
      </c>
      <c r="G34" s="152">
        <f>'pm2018-27-04-2018-risultati'!J80</f>
        <v>12.6</v>
      </c>
      <c r="H34" s="480">
        <v>10.03</v>
      </c>
      <c r="I34" s="414">
        <f t="shared" si="0"/>
        <v>2.2641083521444694</v>
      </c>
      <c r="J34" s="3"/>
      <c r="K34" t="s">
        <v>37</v>
      </c>
      <c r="L34" s="315">
        <v>0.17</v>
      </c>
      <c r="M34" s="315">
        <v>10.03</v>
      </c>
      <c r="N34" s="315">
        <v>12.8</v>
      </c>
      <c r="O34" s="315">
        <v>20.1</v>
      </c>
    </row>
    <row r="35" spans="1:15" ht="16.5" thickBot="1">
      <c r="A35" s="171" t="s">
        <v>20</v>
      </c>
      <c r="C35" s="156">
        <f>'pm2018-27-04-2018-risultati'!G81</f>
        <v>0.17</v>
      </c>
      <c r="D35" s="152" t="str">
        <f>'pm2018-27-04-2018-risultati'!H81</f>
        <v>&lt;1,0</v>
      </c>
      <c r="E35" s="281" t="s">
        <v>61</v>
      </c>
      <c r="F35" s="156">
        <f>'pm2018-27-04-2018-risultati'!I81</f>
        <v>3.07</v>
      </c>
      <c r="G35" s="152">
        <f>'pm2018-27-04-2018-risultati'!J81</f>
        <v>9.19</v>
      </c>
      <c r="H35" s="480">
        <v>8.41</v>
      </c>
      <c r="I35" s="414">
        <f t="shared" si="0"/>
        <v>1.8984198645598196</v>
      </c>
      <c r="J35" s="3"/>
      <c r="K35" t="s">
        <v>20</v>
      </c>
      <c r="L35" s="315" t="s">
        <v>61</v>
      </c>
      <c r="M35" s="315">
        <v>8.41</v>
      </c>
      <c r="N35" s="315">
        <v>10.9</v>
      </c>
      <c r="O35" s="315">
        <v>15.9</v>
      </c>
    </row>
    <row r="36" spans="1:15" ht="16.5" thickBot="1">
      <c r="A36" s="171" t="s">
        <v>38</v>
      </c>
      <c r="C36" s="213">
        <f>'pm2018-27-04-2018-risultati'!G82</f>
        <v>0.3133333333333333</v>
      </c>
      <c r="D36" s="152" t="str">
        <f>'pm2018-27-04-2018-risultati'!H82</f>
        <v>&lt;1,0</v>
      </c>
      <c r="E36" s="281">
        <v>0.18</v>
      </c>
      <c r="F36" s="213">
        <f>'pm2018-27-04-2018-risultati'!I82</f>
        <v>1.9933333333333334</v>
      </c>
      <c r="G36" s="152">
        <f>'pm2018-27-04-2018-risultati'!J82</f>
        <v>11.02</v>
      </c>
      <c r="H36" s="480">
        <v>10</v>
      </c>
      <c r="I36" s="414">
        <f t="shared" si="0"/>
        <v>2.2573363431151243</v>
      </c>
      <c r="J36" s="3"/>
      <c r="K36" t="s">
        <v>38</v>
      </c>
      <c r="L36" s="314">
        <v>0.18</v>
      </c>
      <c r="M36" s="314">
        <v>10</v>
      </c>
      <c r="N36" s="315">
        <v>16.8</v>
      </c>
      <c r="O36" s="315">
        <v>27.6</v>
      </c>
    </row>
    <row r="37" spans="1:15" ht="16.5" thickBot="1">
      <c r="A37" s="171" t="s">
        <v>39</v>
      </c>
      <c r="C37" s="213">
        <f>'pm2018-27-04-2018-risultati'!G83</f>
        <v>0.168</v>
      </c>
      <c r="D37" s="152" t="str">
        <f>'pm2018-27-04-2018-risultati'!H83</f>
        <v>&lt;1,0</v>
      </c>
      <c r="E37" s="281" t="s">
        <v>61</v>
      </c>
      <c r="F37" s="213">
        <f>'pm2018-27-04-2018-risultati'!I83</f>
        <v>2.8033333333333332</v>
      </c>
      <c r="G37" s="152">
        <f>'pm2018-27-04-2018-risultati'!J83</f>
        <v>11.84</v>
      </c>
      <c r="H37" s="480">
        <v>8.32</v>
      </c>
      <c r="I37" s="414">
        <f t="shared" si="0"/>
        <v>1.8781038374717836</v>
      </c>
      <c r="J37" s="3"/>
      <c r="K37" t="s">
        <v>39</v>
      </c>
      <c r="L37" s="315" t="s">
        <v>61</v>
      </c>
      <c r="M37" s="315">
        <v>8.32</v>
      </c>
      <c r="N37" s="315">
        <v>12.1</v>
      </c>
      <c r="O37" s="315">
        <v>17.9</v>
      </c>
    </row>
    <row r="38" spans="1:15" ht="16.5" thickBot="1">
      <c r="A38" s="278" t="s">
        <v>21</v>
      </c>
      <c r="C38" s="166">
        <f>'pm2018-27-04-2018-risultati'!G84</f>
        <v>0.8866666666666667</v>
      </c>
      <c r="D38" s="165" t="str">
        <f>'pm2018-27-04-2018-risultati'!H84</f>
        <v>&lt;1,0</v>
      </c>
      <c r="E38" s="279" t="s">
        <v>61</v>
      </c>
      <c r="F38" s="166">
        <f>'pm2018-27-04-2018-risultati'!I84</f>
        <v>0.7676666666666666</v>
      </c>
      <c r="G38" s="165">
        <f>'pm2018-27-04-2018-risultati'!J84</f>
        <v>6.96</v>
      </c>
      <c r="H38" s="481">
        <v>5.85</v>
      </c>
      <c r="I38" s="414">
        <f t="shared" si="0"/>
        <v>1.3205417607223475</v>
      </c>
      <c r="J38" s="3"/>
      <c r="K38" t="s">
        <v>21</v>
      </c>
      <c r="L38" s="315" t="s">
        <v>61</v>
      </c>
      <c r="M38" s="315">
        <v>5.85</v>
      </c>
      <c r="N38" s="315">
        <v>19.7</v>
      </c>
      <c r="O38" s="315">
        <v>28</v>
      </c>
    </row>
    <row r="39" spans="8:11" ht="15.75">
      <c r="H39" s="3"/>
      <c r="I39" s="3"/>
      <c r="J39" s="3"/>
      <c r="K39" s="3"/>
    </row>
    <row r="40" spans="5:11" ht="15.75">
      <c r="E40" s="69">
        <v>2017</v>
      </c>
      <c r="F40" s="69">
        <v>2018</v>
      </c>
      <c r="G40" s="69">
        <v>2017</v>
      </c>
      <c r="H40" s="69">
        <v>2018</v>
      </c>
      <c r="I40" s="3"/>
      <c r="J40" s="3"/>
      <c r="K40" s="3"/>
    </row>
    <row r="41" spans="5:11" ht="15.75">
      <c r="E41" s="285" t="s">
        <v>79</v>
      </c>
      <c r="F41" s="285" t="s">
        <v>79</v>
      </c>
      <c r="G41" s="411" t="s">
        <v>44</v>
      </c>
      <c r="H41" s="411" t="s">
        <v>44</v>
      </c>
      <c r="I41" s="3"/>
      <c r="J41" s="3"/>
      <c r="K41" s="3"/>
    </row>
    <row r="42" spans="5:11" ht="15.75">
      <c r="E42" s="316" t="s">
        <v>67</v>
      </c>
      <c r="F42" s="316" t="s">
        <v>67</v>
      </c>
      <c r="G42" s="411" t="s">
        <v>3</v>
      </c>
      <c r="H42" s="411" t="s">
        <v>3</v>
      </c>
      <c r="I42" s="3"/>
      <c r="J42" s="3"/>
      <c r="K42" s="3"/>
    </row>
    <row r="43" spans="5:8" ht="13.5" thickBot="1">
      <c r="E43" s="413" t="s">
        <v>225</v>
      </c>
      <c r="F43" s="413" t="s">
        <v>225</v>
      </c>
      <c r="G43" s="411" t="s">
        <v>46</v>
      </c>
      <c r="H43" s="411" t="s">
        <v>46</v>
      </c>
    </row>
    <row r="44" spans="4:20" s="173" customFormat="1" ht="16.5" thickBot="1">
      <c r="D44" s="170" t="s">
        <v>8</v>
      </c>
      <c r="E44" s="482" t="s">
        <v>1</v>
      </c>
      <c r="F44" s="482" t="s">
        <v>1</v>
      </c>
      <c r="G44" s="483" t="s">
        <v>1</v>
      </c>
      <c r="H44" s="483" t="s">
        <v>1</v>
      </c>
      <c r="T44" s="174"/>
    </row>
    <row r="45" spans="4:8" ht="13.5" thickBot="1">
      <c r="D45" s="171" t="s">
        <v>16</v>
      </c>
      <c r="E45" s="156">
        <v>0.17</v>
      </c>
      <c r="F45" s="156">
        <f>F30/4.43</f>
        <v>0.2799097065462754</v>
      </c>
      <c r="G45" s="321">
        <v>9.29</v>
      </c>
      <c r="H45" s="321">
        <f>G30</f>
        <v>0.3</v>
      </c>
    </row>
    <row r="46" spans="4:14" ht="13.5" thickBot="1">
      <c r="D46" s="171" t="s">
        <v>18</v>
      </c>
      <c r="E46" s="156">
        <v>0.55</v>
      </c>
      <c r="F46" s="156">
        <f>F31/4.43</f>
        <v>0.36644093303235514</v>
      </c>
      <c r="G46" s="321">
        <v>28.87</v>
      </c>
      <c r="H46" s="321">
        <f aca="true" t="shared" si="1" ref="H46:H53">G31</f>
        <v>7.52</v>
      </c>
      <c r="K46" s="517"/>
      <c r="L46" s="517"/>
      <c r="M46" s="517"/>
      <c r="N46" s="517"/>
    </row>
    <row r="47" spans="4:14" ht="13.5" thickBot="1">
      <c r="D47" s="171" t="s">
        <v>36</v>
      </c>
      <c r="E47" s="156" t="s">
        <v>54</v>
      </c>
      <c r="F47" s="156">
        <f aca="true" t="shared" si="2" ref="F47:F53">F32/4.43</f>
        <v>1</v>
      </c>
      <c r="G47" s="321" t="s">
        <v>54</v>
      </c>
      <c r="H47" s="321">
        <f t="shared" si="1"/>
        <v>6.15</v>
      </c>
      <c r="K47" s="517"/>
      <c r="L47" s="517"/>
      <c r="M47" s="517"/>
      <c r="N47" s="517"/>
    </row>
    <row r="48" spans="4:14" ht="13.5" thickBot="1">
      <c r="D48" s="172" t="s">
        <v>19</v>
      </c>
      <c r="E48" s="156">
        <v>0.6</v>
      </c>
      <c r="F48" s="156">
        <f t="shared" si="2"/>
        <v>0.24642588412340105</v>
      </c>
      <c r="G48" s="321">
        <v>9.82</v>
      </c>
      <c r="H48" s="321">
        <f t="shared" si="1"/>
        <v>11.1</v>
      </c>
      <c r="K48" s="517"/>
      <c r="L48" s="517"/>
      <c r="M48" s="517"/>
      <c r="N48" s="517"/>
    </row>
    <row r="49" spans="4:12" ht="15.75" thickBot="1">
      <c r="D49" s="172" t="s">
        <v>37</v>
      </c>
      <c r="E49" s="156">
        <v>0.8</v>
      </c>
      <c r="F49" s="156">
        <f t="shared" si="2"/>
        <v>1.4446952595936797</v>
      </c>
      <c r="G49" s="321">
        <v>14.9</v>
      </c>
      <c r="H49" s="321">
        <f t="shared" si="1"/>
        <v>12.6</v>
      </c>
      <c r="L49" s="173"/>
    </row>
    <row r="50" spans="4:14" ht="13.5" thickBot="1">
      <c r="D50" s="171" t="s">
        <v>20</v>
      </c>
      <c r="E50" s="156">
        <v>0.28</v>
      </c>
      <c r="F50" s="156">
        <f t="shared" si="2"/>
        <v>0.6930022573363431</v>
      </c>
      <c r="G50" s="321">
        <v>13.27</v>
      </c>
      <c r="H50" s="321">
        <f t="shared" si="1"/>
        <v>9.19</v>
      </c>
      <c r="J50" s="45"/>
      <c r="K50" s="42"/>
      <c r="L50" s="42"/>
      <c r="M50" s="47"/>
      <c r="N50" s="44"/>
    </row>
    <row r="51" spans="2:14" ht="13.5" thickBot="1">
      <c r="B51" s="54"/>
      <c r="D51" s="171" t="s">
        <v>38</v>
      </c>
      <c r="E51" s="156" t="s">
        <v>54</v>
      </c>
      <c r="F51" s="156">
        <f t="shared" si="2"/>
        <v>0.44996237772761477</v>
      </c>
      <c r="G51" s="321" t="s">
        <v>54</v>
      </c>
      <c r="H51" s="321">
        <f t="shared" si="1"/>
        <v>11.02</v>
      </c>
      <c r="J51" s="62"/>
      <c r="K51" s="62"/>
      <c r="L51" s="62"/>
      <c r="M51" s="47"/>
      <c r="N51" s="44"/>
    </row>
    <row r="52" spans="4:14" ht="13.5" thickBot="1">
      <c r="D52" s="171" t="s">
        <v>39</v>
      </c>
      <c r="E52" s="156" t="s">
        <v>54</v>
      </c>
      <c r="F52" s="156">
        <f t="shared" si="2"/>
        <v>0.6328066215199398</v>
      </c>
      <c r="G52" s="321" t="s">
        <v>54</v>
      </c>
      <c r="H52" s="321">
        <f t="shared" si="1"/>
        <v>11.84</v>
      </c>
      <c r="J52" s="62"/>
      <c r="K52" s="62"/>
      <c r="L52" s="62"/>
      <c r="M52" s="47"/>
      <c r="N52" s="44"/>
    </row>
    <row r="53" spans="4:14" ht="13.5" thickBot="1">
      <c r="D53" s="278" t="s">
        <v>21</v>
      </c>
      <c r="E53" s="156">
        <v>0.03</v>
      </c>
      <c r="F53" s="156">
        <f t="shared" si="2"/>
        <v>0.17328818660647102</v>
      </c>
      <c r="G53" s="321">
        <v>14.12</v>
      </c>
      <c r="H53" s="321">
        <f t="shared" si="1"/>
        <v>6.96</v>
      </c>
      <c r="J53" s="52"/>
      <c r="K53" s="52"/>
      <c r="L53" s="52"/>
      <c r="M53" s="53"/>
      <c r="N53" s="53"/>
    </row>
    <row r="54" spans="1:14" ht="12.75">
      <c r="A54" s="48"/>
      <c r="H54" s="54"/>
      <c r="I54" s="54"/>
      <c r="J54" s="54"/>
      <c r="K54" s="54"/>
      <c r="L54" s="54"/>
      <c r="M54" s="54"/>
      <c r="N54" s="54"/>
    </row>
    <row r="55" spans="1:14" ht="12.75">
      <c r="A55" s="48"/>
      <c r="H55" s="45"/>
      <c r="I55" s="45"/>
      <c r="J55" s="45"/>
      <c r="K55" s="59"/>
      <c r="L55" s="59"/>
      <c r="M55" s="44"/>
      <c r="N55" s="44"/>
    </row>
    <row r="56" spans="1:14" ht="12.75">
      <c r="A56" s="49"/>
      <c r="H56" s="45"/>
      <c r="I56" s="45"/>
      <c r="J56" s="45"/>
      <c r="K56" s="59"/>
      <c r="L56" s="59"/>
      <c r="M56" s="44"/>
      <c r="N56" s="44"/>
    </row>
    <row r="57" spans="1:14" ht="12.75">
      <c r="A57" s="49"/>
      <c r="H57" s="45"/>
      <c r="I57" s="45"/>
      <c r="J57" s="45"/>
      <c r="K57" s="59"/>
      <c r="L57" s="59"/>
      <c r="M57" s="44"/>
      <c r="N57" s="44"/>
    </row>
    <row r="58" spans="1:14" ht="12.75">
      <c r="A58" s="41"/>
      <c r="H58" s="45"/>
      <c r="I58" s="45"/>
      <c r="J58" s="45"/>
      <c r="K58" s="59"/>
      <c r="L58" s="59"/>
      <c r="M58" s="44"/>
      <c r="N58" s="44"/>
    </row>
    <row r="59" spans="1:19" s="487" customFormat="1" ht="15.75">
      <c r="A59" s="485" t="s">
        <v>226</v>
      </c>
      <c r="B59" s="486" t="s">
        <v>227</v>
      </c>
      <c r="I59" s="488"/>
      <c r="K59" s="489"/>
      <c r="L59" s="489"/>
      <c r="M59" s="489"/>
      <c r="N59" s="489"/>
      <c r="O59" s="490"/>
      <c r="S59" s="491"/>
    </row>
    <row r="60" spans="9:20" ht="15.75">
      <c r="I60" s="3"/>
      <c r="J60" s="3"/>
      <c r="O60" s="184"/>
      <c r="S60" s="69"/>
      <c r="T60"/>
    </row>
    <row r="61" spans="5:20" ht="12.75">
      <c r="E61" s="412" t="s">
        <v>60</v>
      </c>
      <c r="H61" s="412" t="s">
        <v>60</v>
      </c>
      <c r="K61" s="492" t="s">
        <v>228</v>
      </c>
      <c r="O61" s="184"/>
      <c r="S61" s="69"/>
      <c r="T61"/>
    </row>
    <row r="62" spans="5:20" ht="12.75">
      <c r="E62" s="412" t="s">
        <v>3</v>
      </c>
      <c r="H62" s="412" t="s">
        <v>3</v>
      </c>
      <c r="K62" s="493"/>
      <c r="O62" s="184"/>
      <c r="S62" s="69"/>
      <c r="T62"/>
    </row>
    <row r="63" spans="5:20" ht="12.75">
      <c r="E63" s="412" t="s">
        <v>229</v>
      </c>
      <c r="H63" s="412" t="s">
        <v>225</v>
      </c>
      <c r="K63" s="494" t="s">
        <v>230</v>
      </c>
      <c r="M63" t="s">
        <v>231</v>
      </c>
      <c r="O63" s="184"/>
      <c r="S63" s="69"/>
      <c r="T63"/>
    </row>
    <row r="64" spans="1:20" s="173" customFormat="1" ht="16.5" thickBot="1">
      <c r="A64" s="147"/>
      <c r="E64" s="416" t="s">
        <v>1</v>
      </c>
      <c r="F64" s="147" t="s">
        <v>232</v>
      </c>
      <c r="G64" s="173" t="s">
        <v>233</v>
      </c>
      <c r="H64" s="416" t="s">
        <v>1</v>
      </c>
      <c r="I64" s="147" t="s">
        <v>232</v>
      </c>
      <c r="J64" s="173" t="s">
        <v>233</v>
      </c>
      <c r="K64" s="495" t="s">
        <v>232</v>
      </c>
      <c r="L64" s="173" t="s">
        <v>233</v>
      </c>
      <c r="N64" s="173" t="s">
        <v>234</v>
      </c>
      <c r="O64" s="496" t="s">
        <v>235</v>
      </c>
      <c r="Q64" s="173" t="s">
        <v>236</v>
      </c>
      <c r="S64" s="174"/>
      <c r="T64" s="173" t="s">
        <v>237</v>
      </c>
    </row>
    <row r="65" spans="3:22" ht="13.5" thickBot="1">
      <c r="C65" s="170" t="s">
        <v>8</v>
      </c>
      <c r="O65" s="184"/>
      <c r="S65" s="69"/>
      <c r="T65"/>
      <c r="V65" s="170" t="s">
        <v>8</v>
      </c>
    </row>
    <row r="66" spans="3:22" ht="15.75" thickBot="1">
      <c r="C66" s="171" t="s">
        <v>16</v>
      </c>
      <c r="E66" s="497" t="s">
        <v>238</v>
      </c>
      <c r="F66" s="184">
        <v>1</v>
      </c>
      <c r="G66" s="184">
        <v>1</v>
      </c>
      <c r="H66" s="498">
        <f aca="true" t="shared" si="3" ref="H66:H73">I30</f>
        <v>1.2415349887133185</v>
      </c>
      <c r="I66" s="499">
        <v>3</v>
      </c>
      <c r="J66" s="498">
        <v>0.25</v>
      </c>
      <c r="K66" s="496">
        <v>1</v>
      </c>
      <c r="L66" s="496">
        <v>1</v>
      </c>
      <c r="M66" s="500">
        <f>'pm2018-27-04-2018-risultati'!E76-100</f>
        <v>29.333333333333343</v>
      </c>
      <c r="N66" s="184">
        <v>3</v>
      </c>
      <c r="O66" s="184">
        <v>0.25</v>
      </c>
      <c r="Q66" s="508">
        <f>(G66+J66+L66+O66)/5</f>
        <v>0.5</v>
      </c>
      <c r="S66" s="69"/>
      <c r="T66" s="509" t="s">
        <v>239</v>
      </c>
      <c r="V66" s="171" t="s">
        <v>16</v>
      </c>
    </row>
    <row r="67" spans="3:22" ht="15.75" thickBot="1">
      <c r="C67" s="171" t="s">
        <v>18</v>
      </c>
      <c r="E67" s="497" t="s">
        <v>238</v>
      </c>
      <c r="F67" s="184">
        <v>1</v>
      </c>
      <c r="G67" s="184">
        <v>1</v>
      </c>
      <c r="H67" s="498">
        <f t="shared" si="3"/>
        <v>1.9683972911963885</v>
      </c>
      <c r="I67" s="499">
        <v>3</v>
      </c>
      <c r="J67" s="498">
        <v>0.25</v>
      </c>
      <c r="K67" s="496">
        <v>1</v>
      </c>
      <c r="L67" s="496">
        <v>1</v>
      </c>
      <c r="M67" s="500">
        <f>'pm2018-27-04-2018-risultati'!E77-100</f>
        <v>1</v>
      </c>
      <c r="N67" s="184">
        <v>1</v>
      </c>
      <c r="O67" s="498">
        <v>1</v>
      </c>
      <c r="Q67" s="508">
        <f aca="true" t="shared" si="4" ref="Q67:Q78">(G67+J67+L67+O67)/5</f>
        <v>0.65</v>
      </c>
      <c r="S67" s="69"/>
      <c r="T67" s="509" t="s">
        <v>239</v>
      </c>
      <c r="V67" s="171" t="s">
        <v>18</v>
      </c>
    </row>
    <row r="68" spans="3:22" ht="15.75" thickBot="1">
      <c r="C68" s="171" t="s">
        <v>36</v>
      </c>
      <c r="E68" s="497" t="s">
        <v>238</v>
      </c>
      <c r="F68" s="184">
        <v>1</v>
      </c>
      <c r="G68" s="184">
        <v>1</v>
      </c>
      <c r="H68" s="498">
        <f t="shared" si="3"/>
        <v>1.4966139954853275</v>
      </c>
      <c r="I68" s="499">
        <v>3</v>
      </c>
      <c r="J68" s="498">
        <v>0.25</v>
      </c>
      <c r="K68" s="496">
        <v>1</v>
      </c>
      <c r="L68" s="496">
        <v>1</v>
      </c>
      <c r="M68" s="500">
        <f>'pm2018-27-04-2018-risultati'!E78-100</f>
        <v>19</v>
      </c>
      <c r="N68" s="184">
        <v>2</v>
      </c>
      <c r="O68" s="498">
        <v>0.5</v>
      </c>
      <c r="Q68" s="508">
        <f t="shared" si="4"/>
        <v>0.55</v>
      </c>
      <c r="S68" s="69"/>
      <c r="T68" s="509" t="s">
        <v>239</v>
      </c>
      <c r="V68" s="171" t="s">
        <v>36</v>
      </c>
    </row>
    <row r="69" spans="3:22" ht="15.75" thickBot="1">
      <c r="C69" s="172" t="s">
        <v>19</v>
      </c>
      <c r="E69" s="497" t="s">
        <v>238</v>
      </c>
      <c r="F69" s="184">
        <v>1</v>
      </c>
      <c r="G69" s="184">
        <v>1</v>
      </c>
      <c r="H69" s="498">
        <f t="shared" si="3"/>
        <v>1.7020316027088038</v>
      </c>
      <c r="I69" s="499">
        <v>3</v>
      </c>
      <c r="J69" s="498">
        <v>0.25</v>
      </c>
      <c r="K69" s="496">
        <v>1</v>
      </c>
      <c r="L69" s="496">
        <v>1</v>
      </c>
      <c r="M69" s="500">
        <f>'pm2018-27-04-2018-risultati'!E79-100</f>
        <v>7.25</v>
      </c>
      <c r="N69" s="184">
        <v>1</v>
      </c>
      <c r="O69" s="498">
        <v>1</v>
      </c>
      <c r="Q69" s="508">
        <f t="shared" si="4"/>
        <v>0.65</v>
      </c>
      <c r="S69" s="69"/>
      <c r="T69" s="509" t="s">
        <v>239</v>
      </c>
      <c r="V69" s="172" t="s">
        <v>19</v>
      </c>
    </row>
    <row r="70" spans="3:22" ht="15.75" thickBot="1">
      <c r="C70" s="172" t="s">
        <v>37</v>
      </c>
      <c r="E70" s="497">
        <f>0.17/3</f>
        <v>0.05666666666666667</v>
      </c>
      <c r="F70" s="184">
        <v>2</v>
      </c>
      <c r="G70" s="184">
        <v>0.5</v>
      </c>
      <c r="H70" s="498">
        <f t="shared" si="3"/>
        <v>2.2641083521444694</v>
      </c>
      <c r="I70" s="501">
        <v>3</v>
      </c>
      <c r="J70" s="498">
        <v>0.25</v>
      </c>
      <c r="K70" s="496">
        <v>1</v>
      </c>
      <c r="L70" s="496">
        <v>1</v>
      </c>
      <c r="M70" s="500">
        <f>'pm2018-27-04-2018-risultati'!E80-100</f>
        <v>14.333333333333329</v>
      </c>
      <c r="N70" s="184">
        <v>2</v>
      </c>
      <c r="O70" s="498">
        <v>0.5</v>
      </c>
      <c r="Q70" s="508">
        <f t="shared" si="4"/>
        <v>0.45</v>
      </c>
      <c r="S70" s="69"/>
      <c r="T70" s="510" t="s">
        <v>240</v>
      </c>
      <c r="V70" s="172" t="s">
        <v>37</v>
      </c>
    </row>
    <row r="71" spans="2:22" ht="15.75" thickBot="1">
      <c r="B71" s="54"/>
      <c r="C71" s="171" t="s">
        <v>20</v>
      </c>
      <c r="E71" s="497" t="s">
        <v>238</v>
      </c>
      <c r="F71" s="184">
        <v>1</v>
      </c>
      <c r="G71" s="184">
        <v>1</v>
      </c>
      <c r="H71" s="498">
        <f t="shared" si="3"/>
        <v>1.8984198645598196</v>
      </c>
      <c r="I71" s="502">
        <v>3</v>
      </c>
      <c r="J71" s="498">
        <v>0.25</v>
      </c>
      <c r="K71" s="496">
        <v>1</v>
      </c>
      <c r="L71" s="496">
        <v>1</v>
      </c>
      <c r="M71" s="500">
        <v>15</v>
      </c>
      <c r="N71" s="184">
        <v>2</v>
      </c>
      <c r="O71" s="498">
        <v>0.5</v>
      </c>
      <c r="Q71" s="508">
        <f t="shared" si="4"/>
        <v>0.55</v>
      </c>
      <c r="S71" s="69"/>
      <c r="T71" s="509" t="s">
        <v>239</v>
      </c>
      <c r="V71" s="171" t="s">
        <v>20</v>
      </c>
    </row>
    <row r="72" spans="3:22" ht="15.75" thickBot="1">
      <c r="C72" s="171" t="s">
        <v>38</v>
      </c>
      <c r="E72" s="497">
        <f>0.18/3</f>
        <v>0.06</v>
      </c>
      <c r="F72" s="184">
        <v>2</v>
      </c>
      <c r="G72" s="184">
        <v>0.5</v>
      </c>
      <c r="H72" s="498">
        <f t="shared" si="3"/>
        <v>2.2573363431151243</v>
      </c>
      <c r="I72" s="502">
        <v>3</v>
      </c>
      <c r="J72" s="498">
        <v>0.25</v>
      </c>
      <c r="K72" s="496">
        <v>1</v>
      </c>
      <c r="L72" s="496">
        <v>1</v>
      </c>
      <c r="M72" s="500">
        <v>22</v>
      </c>
      <c r="N72" s="184">
        <v>3</v>
      </c>
      <c r="O72" s="498">
        <v>0.25</v>
      </c>
      <c r="Q72" s="508">
        <f t="shared" si="4"/>
        <v>0.4</v>
      </c>
      <c r="S72" s="69"/>
      <c r="T72" s="510" t="s">
        <v>240</v>
      </c>
      <c r="V72" s="171" t="s">
        <v>38</v>
      </c>
    </row>
    <row r="73" spans="3:22" ht="15.75" thickBot="1">
      <c r="C73" s="171" t="s">
        <v>39</v>
      </c>
      <c r="E73" s="497" t="s">
        <v>238</v>
      </c>
      <c r="F73" s="184">
        <v>1</v>
      </c>
      <c r="G73" s="184">
        <v>1</v>
      </c>
      <c r="H73" s="498">
        <f t="shared" si="3"/>
        <v>1.8781038374717836</v>
      </c>
      <c r="I73" s="503">
        <v>3</v>
      </c>
      <c r="J73" s="498">
        <v>0.25</v>
      </c>
      <c r="K73" s="496">
        <v>1</v>
      </c>
      <c r="L73" s="496">
        <v>1</v>
      </c>
      <c r="M73" s="500">
        <v>21</v>
      </c>
      <c r="N73" s="184">
        <v>3</v>
      </c>
      <c r="O73" s="498">
        <v>0.25</v>
      </c>
      <c r="Q73" s="508">
        <f t="shared" si="4"/>
        <v>0.5</v>
      </c>
      <c r="S73" s="69"/>
      <c r="T73" s="509" t="s">
        <v>239</v>
      </c>
      <c r="V73" s="171" t="s">
        <v>39</v>
      </c>
    </row>
    <row r="74" spans="3:22" ht="15.75" thickBot="1">
      <c r="C74" s="504" t="s">
        <v>241</v>
      </c>
      <c r="E74" s="497" t="s">
        <v>238</v>
      </c>
      <c r="F74" s="184">
        <v>1</v>
      </c>
      <c r="G74" s="184">
        <v>1</v>
      </c>
      <c r="H74" s="498">
        <v>1.4</v>
      </c>
      <c r="I74" s="499">
        <v>3</v>
      </c>
      <c r="J74" s="498">
        <v>0.25</v>
      </c>
      <c r="K74" s="496">
        <v>1</v>
      </c>
      <c r="L74" s="496">
        <v>1</v>
      </c>
      <c r="M74" s="500">
        <f>171-100</f>
        <v>71</v>
      </c>
      <c r="N74" s="184">
        <v>4</v>
      </c>
      <c r="O74" s="498">
        <v>0.125</v>
      </c>
      <c r="Q74" s="508">
        <f t="shared" si="4"/>
        <v>0.475</v>
      </c>
      <c r="S74" s="69"/>
      <c r="T74" s="510" t="s">
        <v>240</v>
      </c>
      <c r="V74" s="504" t="s">
        <v>241</v>
      </c>
    </row>
    <row r="75" spans="3:22" ht="15.75" thickBot="1">
      <c r="C75" s="504" t="s">
        <v>151</v>
      </c>
      <c r="E75" s="497" t="s">
        <v>238</v>
      </c>
      <c r="F75" s="184">
        <v>1</v>
      </c>
      <c r="G75" s="184">
        <v>1</v>
      </c>
      <c r="H75" s="498">
        <v>1.13</v>
      </c>
      <c r="I75" s="499">
        <v>2</v>
      </c>
      <c r="J75" s="498">
        <v>0.5</v>
      </c>
      <c r="K75" s="496">
        <v>1</v>
      </c>
      <c r="L75" s="496">
        <v>1</v>
      </c>
      <c r="M75" s="500">
        <f>145-100</f>
        <v>45</v>
      </c>
      <c r="N75" s="184">
        <v>4</v>
      </c>
      <c r="O75" s="498">
        <v>0.125</v>
      </c>
      <c r="Q75" s="508">
        <f t="shared" si="4"/>
        <v>0.525</v>
      </c>
      <c r="S75" s="69"/>
      <c r="T75" s="509" t="s">
        <v>239</v>
      </c>
      <c r="V75" s="504" t="s">
        <v>151</v>
      </c>
    </row>
    <row r="76" spans="3:22" ht="15.75" thickBot="1">
      <c r="C76" s="504" t="s">
        <v>149</v>
      </c>
      <c r="E76" s="497" t="s">
        <v>238</v>
      </c>
      <c r="F76" s="184">
        <v>1</v>
      </c>
      <c r="G76" s="184">
        <v>1</v>
      </c>
      <c r="H76" s="498">
        <v>1.12</v>
      </c>
      <c r="I76" s="499">
        <v>2</v>
      </c>
      <c r="J76" s="498">
        <v>0.5</v>
      </c>
      <c r="K76" s="496">
        <v>1</v>
      </c>
      <c r="L76" s="496">
        <v>1</v>
      </c>
      <c r="M76" s="500">
        <f>170-100</f>
        <v>70</v>
      </c>
      <c r="N76" s="184">
        <v>4</v>
      </c>
      <c r="O76" s="498">
        <v>0.125</v>
      </c>
      <c r="Q76" s="508">
        <f t="shared" si="4"/>
        <v>0.525</v>
      </c>
      <c r="S76" s="69"/>
      <c r="T76" s="509" t="s">
        <v>239</v>
      </c>
      <c r="V76" s="504" t="s">
        <v>149</v>
      </c>
    </row>
    <row r="77" spans="3:22" ht="15.75" thickBot="1">
      <c r="C77" s="504" t="s">
        <v>150</v>
      </c>
      <c r="E77" s="497" t="s">
        <v>238</v>
      </c>
      <c r="F77" s="184">
        <v>1</v>
      </c>
      <c r="G77" s="184">
        <v>1</v>
      </c>
      <c r="H77" s="498">
        <v>1.19</v>
      </c>
      <c r="I77" s="499">
        <v>2</v>
      </c>
      <c r="J77" s="498">
        <v>0.5</v>
      </c>
      <c r="K77" s="496">
        <v>1</v>
      </c>
      <c r="L77" s="496">
        <v>1</v>
      </c>
      <c r="M77" s="500">
        <v>36</v>
      </c>
      <c r="N77" s="184">
        <v>3</v>
      </c>
      <c r="O77" s="498">
        <v>0.25</v>
      </c>
      <c r="Q77" s="508">
        <f t="shared" si="4"/>
        <v>0.55</v>
      </c>
      <c r="S77" s="69"/>
      <c r="T77" s="509" t="s">
        <v>239</v>
      </c>
      <c r="V77" s="504" t="s">
        <v>150</v>
      </c>
    </row>
    <row r="78" spans="3:22" ht="15.75" thickBot="1">
      <c r="C78" s="278" t="s">
        <v>21</v>
      </c>
      <c r="E78" s="497" t="s">
        <v>238</v>
      </c>
      <c r="F78" s="184">
        <v>1</v>
      </c>
      <c r="G78" s="184">
        <v>1</v>
      </c>
      <c r="H78" s="498">
        <f>I38</f>
        <v>1.3205417607223475</v>
      </c>
      <c r="I78" s="501">
        <v>3</v>
      </c>
      <c r="J78" s="498">
        <v>0.25</v>
      </c>
      <c r="K78" s="496">
        <v>1</v>
      </c>
      <c r="L78" s="496">
        <v>1</v>
      </c>
      <c r="M78" s="500">
        <v>24</v>
      </c>
      <c r="N78" s="184">
        <v>3</v>
      </c>
      <c r="O78" s="498">
        <v>0.25</v>
      </c>
      <c r="Q78" s="508">
        <f t="shared" si="4"/>
        <v>0.5</v>
      </c>
      <c r="S78" s="69"/>
      <c r="T78" s="509" t="s">
        <v>239</v>
      </c>
      <c r="V78" s="278" t="s">
        <v>21</v>
      </c>
    </row>
    <row r="79" spans="1:20" ht="12.75">
      <c r="A79" s="48"/>
      <c r="D79" s="45"/>
      <c r="E79" s="45"/>
      <c r="F79" s="45"/>
      <c r="H79" s="45"/>
      <c r="I79" s="45"/>
      <c r="J79" s="59"/>
      <c r="K79" s="59"/>
      <c r="L79" s="44"/>
      <c r="M79" s="44"/>
      <c r="O79" s="184"/>
      <c r="S79" s="69"/>
      <c r="T79"/>
    </row>
    <row r="80" spans="8:14" ht="12.75">
      <c r="H80" s="45"/>
      <c r="I80" s="45"/>
      <c r="J80" s="45"/>
      <c r="K80" s="46"/>
      <c r="L80" s="46"/>
      <c r="M80" s="44"/>
      <c r="N80" s="44"/>
    </row>
    <row r="81" spans="8:14" ht="12.75">
      <c r="H81" s="52"/>
      <c r="I81" s="52"/>
      <c r="J81" s="52"/>
      <c r="K81" s="52"/>
      <c r="L81" s="52"/>
      <c r="M81" s="53"/>
      <c r="N81" s="53"/>
    </row>
    <row r="82" spans="8:14" ht="12.75">
      <c r="H82" s="54"/>
      <c r="I82" s="54"/>
      <c r="J82" s="54"/>
      <c r="K82" s="54"/>
      <c r="L82" s="54"/>
      <c r="M82" s="54"/>
      <c r="N82" s="54"/>
    </row>
    <row r="83" spans="8:14" ht="12.75">
      <c r="H83" s="45"/>
      <c r="I83" s="45"/>
      <c r="J83" s="45"/>
      <c r="K83" s="46"/>
      <c r="L83" s="46"/>
      <c r="M83" s="44"/>
      <c r="N83" s="44"/>
    </row>
    <row r="84" spans="8:14" ht="12.75">
      <c r="H84" s="45"/>
      <c r="I84" s="45"/>
      <c r="J84" s="45"/>
      <c r="K84" s="46"/>
      <c r="L84" s="46"/>
      <c r="M84" s="44"/>
      <c r="N84" s="44"/>
    </row>
    <row r="85" spans="8:14" ht="12.75">
      <c r="H85" s="45"/>
      <c r="I85" s="45"/>
      <c r="J85" s="45"/>
      <c r="K85" s="46"/>
      <c r="L85" s="46"/>
      <c r="M85" s="44"/>
      <c r="N85" s="44"/>
    </row>
    <row r="86" spans="8:14" ht="12.75">
      <c r="H86" s="45"/>
      <c r="I86" s="45"/>
      <c r="J86" s="45"/>
      <c r="K86" s="46"/>
      <c r="L86" s="46"/>
      <c r="M86" s="44"/>
      <c r="N86" s="44"/>
    </row>
    <row r="87" spans="8:14" ht="12.75">
      <c r="H87" s="45"/>
      <c r="I87" s="45"/>
      <c r="J87" s="45"/>
      <c r="K87" s="46"/>
      <c r="L87" s="46"/>
      <c r="M87" s="44"/>
      <c r="N87" s="44"/>
    </row>
    <row r="88" spans="8:14" ht="12.75">
      <c r="H88" s="52"/>
      <c r="I88" s="52"/>
      <c r="J88" s="52"/>
      <c r="K88" s="52"/>
      <c r="L88" s="52"/>
      <c r="M88" s="53"/>
      <c r="N88" s="53"/>
    </row>
    <row r="89" spans="8:14" ht="12.75">
      <c r="H89" s="54"/>
      <c r="I89" s="54"/>
      <c r="J89" s="54"/>
      <c r="K89" s="54"/>
      <c r="L89" s="54"/>
      <c r="M89" s="54"/>
      <c r="N89" s="54"/>
    </row>
    <row r="90" spans="8:14" ht="12.75">
      <c r="H90" s="46"/>
      <c r="I90" s="46"/>
      <c r="J90" s="45"/>
      <c r="K90" s="59"/>
      <c r="L90" s="59"/>
      <c r="M90" s="47"/>
      <c r="N90" s="47"/>
    </row>
    <row r="91" spans="8:14" ht="12.75">
      <c r="H91" s="46"/>
      <c r="I91" s="46"/>
      <c r="J91" s="45"/>
      <c r="K91" s="59"/>
      <c r="L91" s="59"/>
      <c r="M91" s="47"/>
      <c r="N91" s="44"/>
    </row>
    <row r="92" spans="8:14" ht="12.75">
      <c r="H92" s="46"/>
      <c r="I92" s="46"/>
      <c r="J92" s="45"/>
      <c r="K92" s="59"/>
      <c r="L92" s="59"/>
      <c r="M92" s="47"/>
      <c r="N92" s="44"/>
    </row>
    <row r="93" spans="8:14" ht="12.75">
      <c r="H93" s="46"/>
      <c r="I93" s="46"/>
      <c r="J93" s="45"/>
      <c r="K93" s="59"/>
      <c r="L93" s="59"/>
      <c r="M93" s="47"/>
      <c r="N93" s="44"/>
    </row>
    <row r="94" spans="8:14" ht="12.75">
      <c r="H94" s="46"/>
      <c r="I94" s="46"/>
      <c r="J94" s="45"/>
      <c r="K94" s="59"/>
      <c r="L94" s="59"/>
      <c r="M94" s="47"/>
      <c r="N94" s="44"/>
    </row>
    <row r="95" spans="8:14" ht="12.75">
      <c r="H95" s="52"/>
      <c r="I95" s="52"/>
      <c r="J95" s="52"/>
      <c r="K95" s="52"/>
      <c r="L95" s="52"/>
      <c r="M95" s="53"/>
      <c r="N95" s="53"/>
    </row>
    <row r="96" spans="8:14" ht="12.75">
      <c r="H96" s="54"/>
      <c r="I96" s="54"/>
      <c r="J96" s="54"/>
      <c r="K96" s="54"/>
      <c r="L96" s="54"/>
      <c r="M96" s="54"/>
      <c r="N96" s="54"/>
    </row>
    <row r="97" spans="8:14" ht="12.75">
      <c r="H97" s="45"/>
      <c r="I97" s="45"/>
      <c r="J97" s="45"/>
      <c r="K97" s="46"/>
      <c r="L97" s="46"/>
      <c r="M97" s="47"/>
      <c r="N97" s="47"/>
    </row>
    <row r="98" spans="8:14" ht="12.75">
      <c r="H98" s="45"/>
      <c r="I98" s="45"/>
      <c r="J98" s="45"/>
      <c r="K98" s="46"/>
      <c r="L98" s="46"/>
      <c r="M98" s="47"/>
      <c r="N98" s="47"/>
    </row>
    <row r="99" spans="8:14" ht="12.75">
      <c r="H99" s="45"/>
      <c r="I99" s="45"/>
      <c r="J99" s="45"/>
      <c r="K99" s="46"/>
      <c r="L99" s="46"/>
      <c r="M99" s="47"/>
      <c r="N99" s="47"/>
    </row>
    <row r="100" spans="8:14" ht="12.75">
      <c r="H100" s="45"/>
      <c r="I100" s="45"/>
      <c r="J100" s="45"/>
      <c r="K100" s="46"/>
      <c r="L100" s="46"/>
      <c r="M100" s="47"/>
      <c r="N100" s="47"/>
    </row>
    <row r="101" spans="8:14" ht="12.75">
      <c r="H101" s="45"/>
      <c r="I101" s="45"/>
      <c r="J101" s="45"/>
      <c r="K101" s="46"/>
      <c r="L101" s="46"/>
      <c r="M101" s="47"/>
      <c r="N101" s="47"/>
    </row>
    <row r="102" spans="8:14" ht="12.75">
      <c r="H102" s="52"/>
      <c r="I102" s="52"/>
      <c r="J102" s="52"/>
      <c r="K102" s="52"/>
      <c r="L102" s="52"/>
      <c r="M102" s="53"/>
      <c r="N102" s="53"/>
    </row>
    <row r="103" spans="8:14" ht="12.75">
      <c r="H103" s="54"/>
      <c r="I103" s="54"/>
      <c r="J103" s="54"/>
      <c r="K103" s="54"/>
      <c r="L103" s="54"/>
      <c r="M103" s="54"/>
      <c r="N103" s="54"/>
    </row>
    <row r="104" spans="8:14" ht="12.75">
      <c r="H104" s="46"/>
      <c r="I104" s="46"/>
      <c r="J104" s="45"/>
      <c r="K104" s="59"/>
      <c r="L104" s="59"/>
      <c r="M104" s="47"/>
      <c r="N104" s="47"/>
    </row>
    <row r="105" spans="8:14" ht="12.75">
      <c r="H105" s="46"/>
      <c r="I105" s="46"/>
      <c r="J105" s="45"/>
      <c r="K105" s="59"/>
      <c r="L105" s="59"/>
      <c r="M105" s="47"/>
      <c r="N105" s="44"/>
    </row>
    <row r="106" spans="8:14" ht="12.75">
      <c r="H106" s="46"/>
      <c r="I106" s="46"/>
      <c r="J106" s="45"/>
      <c r="K106" s="59"/>
      <c r="L106" s="59"/>
      <c r="M106" s="47"/>
      <c r="N106" s="44"/>
    </row>
    <row r="107" spans="8:14" ht="12.75">
      <c r="H107" s="54"/>
      <c r="I107" s="54"/>
      <c r="J107" s="54"/>
      <c r="K107" s="59"/>
      <c r="L107" s="59"/>
      <c r="M107" s="54"/>
      <c r="N107" s="54"/>
    </row>
    <row r="108" spans="8:14" ht="12.75">
      <c r="H108" s="46"/>
      <c r="I108" s="46"/>
      <c r="J108" s="45"/>
      <c r="K108" s="59"/>
      <c r="L108" s="59"/>
      <c r="M108" s="47"/>
      <c r="N108" s="44"/>
    </row>
    <row r="109" spans="8:14" ht="12.75">
      <c r="H109" s="52"/>
      <c r="I109" s="52"/>
      <c r="J109" s="52"/>
      <c r="K109" s="52"/>
      <c r="L109" s="52"/>
      <c r="M109" s="53"/>
      <c r="N109" s="53"/>
    </row>
  </sheetData>
  <sheetProtection selectLockedCells="1" selectUnlockedCells="1"/>
  <mergeCells count="5">
    <mergeCell ref="P22:R22"/>
    <mergeCell ref="K46:N48"/>
    <mergeCell ref="D24:E24"/>
    <mergeCell ref="G24:H24"/>
    <mergeCell ref="L24:O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1"/>
  <sheetViews>
    <sheetView zoomScalePageLayoutView="0" workbookViewId="0" topLeftCell="A26">
      <selection activeCell="D21" sqref="D21"/>
    </sheetView>
  </sheetViews>
  <sheetFormatPr defaultColWidth="9.140625" defaultRowHeight="12.75"/>
  <cols>
    <col min="1" max="1" width="58.28125" style="0" customWidth="1"/>
    <col min="2" max="2" width="26.140625" style="184" bestFit="1" customWidth="1"/>
    <col min="3" max="3" width="28.00390625" style="0" customWidth="1"/>
    <col min="4" max="4" width="25.00390625" style="0" bestFit="1" customWidth="1"/>
    <col min="5" max="5" width="10.00390625" style="0" bestFit="1" customWidth="1"/>
  </cols>
  <sheetData>
    <row r="1" spans="6:22" ht="12.75">
      <c r="F1" s="207"/>
      <c r="V1" s="69"/>
    </row>
    <row r="2" spans="6:22" ht="12.75">
      <c r="F2" s="207"/>
      <c r="V2" s="69"/>
    </row>
    <row r="3" spans="6:22" ht="12.75">
      <c r="F3" s="207"/>
      <c r="V3" s="69"/>
    </row>
    <row r="4" spans="6:22" ht="12.75">
      <c r="F4" s="207"/>
      <c r="V4" s="69"/>
    </row>
    <row r="5" ht="12.75">
      <c r="V5" s="69"/>
    </row>
    <row r="6" spans="1:22" ht="15.75">
      <c r="A6" s="1" t="s">
        <v>34</v>
      </c>
      <c r="V6" s="69"/>
    </row>
    <row r="7" spans="1:22" ht="15.75">
      <c r="A7" s="1"/>
      <c r="B7" s="335"/>
      <c r="C7" s="3"/>
      <c r="D7" s="3"/>
      <c r="H7" s="7"/>
      <c r="I7" s="3"/>
      <c r="J7" s="3"/>
      <c r="K7" s="2"/>
      <c r="V7" s="69"/>
    </row>
    <row r="8" spans="1:22" s="377" customFormat="1" ht="20.25">
      <c r="A8" s="368" t="s">
        <v>93</v>
      </c>
      <c r="B8" s="379"/>
      <c r="C8" s="370"/>
      <c r="D8" s="370"/>
      <c r="H8" s="374"/>
      <c r="I8" s="370"/>
      <c r="J8" s="370"/>
      <c r="K8" s="369"/>
      <c r="V8" s="378"/>
    </row>
    <row r="9" spans="2:22" ht="15.75">
      <c r="B9" s="335"/>
      <c r="C9" s="3"/>
      <c r="D9" s="3"/>
      <c r="H9" s="7"/>
      <c r="I9" s="3"/>
      <c r="J9" s="3"/>
      <c r="K9" s="2"/>
      <c r="L9" s="3"/>
      <c r="M9" s="71"/>
      <c r="N9" s="2"/>
      <c r="O9" s="54"/>
      <c r="V9" s="69"/>
    </row>
    <row r="10" spans="1:5" ht="15">
      <c r="A10" s="330" t="s">
        <v>94</v>
      </c>
      <c r="C10" s="380" t="s">
        <v>100</v>
      </c>
      <c r="D10" s="381"/>
      <c r="E10" s="382"/>
    </row>
    <row r="11" spans="1:5" ht="15">
      <c r="A11" s="331" t="s">
        <v>104</v>
      </c>
      <c r="C11" s="383" t="s">
        <v>101</v>
      </c>
      <c r="D11" s="76"/>
      <c r="E11" s="77"/>
    </row>
    <row r="12" ht="15">
      <c r="A12" s="331" t="s">
        <v>97</v>
      </c>
    </row>
    <row r="13" spans="1:3" ht="15">
      <c r="A13" s="332" t="s">
        <v>92</v>
      </c>
      <c r="C13" s="384" t="s">
        <v>102</v>
      </c>
    </row>
    <row r="14" ht="12.75">
      <c r="C14" s="385" t="s">
        <v>103</v>
      </c>
    </row>
    <row r="15" ht="15">
      <c r="A15" s="326"/>
    </row>
    <row r="16" spans="1:3" ht="12.75">
      <c r="A16" s="346" t="s">
        <v>95</v>
      </c>
      <c r="B16" s="347"/>
      <c r="C16" s="184"/>
    </row>
    <row r="17" spans="1:3" ht="12.75">
      <c r="A17" s="348" t="s">
        <v>96</v>
      </c>
      <c r="B17" s="349"/>
      <c r="C17" s="184"/>
    </row>
    <row r="18" spans="1:3" ht="12.75">
      <c r="A18" s="350" t="s">
        <v>98</v>
      </c>
      <c r="B18" s="349"/>
      <c r="C18" s="184"/>
    </row>
    <row r="19" spans="1:3" ht="12.75">
      <c r="A19" s="350" t="s">
        <v>110</v>
      </c>
      <c r="B19" s="349"/>
      <c r="C19" s="184"/>
    </row>
    <row r="20" spans="1:3" ht="12.75">
      <c r="A20" s="351" t="s">
        <v>99</v>
      </c>
      <c r="B20" s="182"/>
      <c r="C20" s="184"/>
    </row>
    <row r="21" ht="12.75">
      <c r="C21" s="184"/>
    </row>
    <row r="22" spans="2:5" ht="15">
      <c r="B22" s="327"/>
      <c r="C22" s="184"/>
      <c r="E22" s="78"/>
    </row>
    <row r="23" spans="1:3" ht="12.75">
      <c r="A23" s="352" t="s">
        <v>111</v>
      </c>
      <c r="C23" s="184"/>
    </row>
    <row r="24" spans="1:3" ht="12.75">
      <c r="A24" s="192" t="s">
        <v>120</v>
      </c>
      <c r="C24" s="184"/>
    </row>
    <row r="25" spans="1:8" ht="15">
      <c r="A25" s="193" t="s">
        <v>87</v>
      </c>
      <c r="H25" s="327"/>
    </row>
    <row r="26" spans="4:9" ht="15">
      <c r="D26" s="157" t="s">
        <v>105</v>
      </c>
      <c r="G26" s="327"/>
      <c r="H26" s="327"/>
      <c r="I26" s="327"/>
    </row>
    <row r="27" spans="3:9" ht="15">
      <c r="C27" s="337" t="s">
        <v>89</v>
      </c>
      <c r="D27" s="338" t="s">
        <v>1</v>
      </c>
      <c r="E27" s="327"/>
      <c r="F27" s="327"/>
      <c r="G27" s="327"/>
      <c r="H27" s="327"/>
      <c r="I27" s="327"/>
    </row>
    <row r="28" spans="1:8" ht="15">
      <c r="A28" s="338" t="s">
        <v>88</v>
      </c>
      <c r="B28" s="338" t="s">
        <v>90</v>
      </c>
      <c r="C28" s="157">
        <v>15</v>
      </c>
      <c r="D28" s="338">
        <v>7.5</v>
      </c>
      <c r="H28" s="184"/>
    </row>
    <row r="29" spans="1:4" ht="12.75">
      <c r="A29" s="339"/>
      <c r="B29" s="340"/>
      <c r="C29" s="157"/>
      <c r="D29" s="157"/>
    </row>
    <row r="30" spans="1:8" ht="15">
      <c r="A30" s="338" t="s">
        <v>88</v>
      </c>
      <c r="B30" s="338" t="s">
        <v>91</v>
      </c>
      <c r="C30" s="157">
        <v>22</v>
      </c>
      <c r="D30" s="156">
        <v>11</v>
      </c>
      <c r="F30" s="184"/>
      <c r="G30" s="328"/>
      <c r="H30" s="329"/>
    </row>
    <row r="31" spans="1:8" ht="15">
      <c r="A31" s="338"/>
      <c r="B31" s="338"/>
      <c r="C31" s="157"/>
      <c r="D31" s="156"/>
      <c r="F31" s="184"/>
      <c r="G31" s="328"/>
      <c r="H31" s="329"/>
    </row>
    <row r="32" spans="1:8" ht="15">
      <c r="A32" s="341"/>
      <c r="B32" s="157" t="s">
        <v>112</v>
      </c>
      <c r="C32" s="353" t="s">
        <v>113</v>
      </c>
      <c r="D32" s="342"/>
      <c r="E32" s="184"/>
      <c r="F32" s="184"/>
      <c r="G32" s="328"/>
      <c r="H32" s="329"/>
    </row>
    <row r="33" spans="1:8" ht="15">
      <c r="A33" s="341"/>
      <c r="B33" s="157"/>
      <c r="C33" s="153"/>
      <c r="D33" s="342"/>
      <c r="E33" s="184"/>
      <c r="F33" s="184"/>
      <c r="G33" s="328"/>
      <c r="H33" s="329"/>
    </row>
    <row r="34" spans="1:8" ht="15">
      <c r="A34" s="343" t="s">
        <v>109</v>
      </c>
      <c r="B34" s="157" t="s">
        <v>106</v>
      </c>
      <c r="C34" s="340" t="s">
        <v>54</v>
      </c>
      <c r="D34" s="156">
        <v>11.5</v>
      </c>
      <c r="E34" s="184"/>
      <c r="F34" s="69"/>
      <c r="G34" s="333"/>
      <c r="H34" s="329"/>
    </row>
    <row r="35" spans="1:8" ht="15">
      <c r="A35" s="341"/>
      <c r="B35" s="157"/>
      <c r="C35" s="153"/>
      <c r="D35" s="156"/>
      <c r="E35" s="184"/>
      <c r="F35" s="184"/>
      <c r="G35" s="328"/>
      <c r="H35" s="329"/>
    </row>
    <row r="36" spans="1:8" ht="15">
      <c r="A36" s="343" t="s">
        <v>109</v>
      </c>
      <c r="B36" s="338" t="s">
        <v>107</v>
      </c>
      <c r="C36" s="340" t="s">
        <v>54</v>
      </c>
      <c r="D36" s="157">
        <v>11.58</v>
      </c>
      <c r="E36" s="184"/>
      <c r="F36" s="184"/>
      <c r="G36" s="328"/>
      <c r="H36" s="329"/>
    </row>
    <row r="37" spans="1:8" ht="15">
      <c r="A37" s="339"/>
      <c r="B37" s="340"/>
      <c r="C37" s="340"/>
      <c r="D37" s="344"/>
      <c r="E37" s="184"/>
      <c r="F37" s="184"/>
      <c r="G37" s="328"/>
      <c r="H37" s="329"/>
    </row>
    <row r="38" spans="1:8" ht="15">
      <c r="A38" s="343" t="s">
        <v>109</v>
      </c>
      <c r="B38" s="338" t="s">
        <v>108</v>
      </c>
      <c r="C38" s="340" t="s">
        <v>54</v>
      </c>
      <c r="D38" s="157">
        <v>12.71</v>
      </c>
      <c r="E38" s="184"/>
      <c r="F38" s="184"/>
      <c r="G38" s="328"/>
      <c r="H38" s="329"/>
    </row>
    <row r="39" spans="1:8" ht="15">
      <c r="A39" s="336"/>
      <c r="B39" s="327"/>
      <c r="D39" s="69"/>
      <c r="E39" s="184"/>
      <c r="F39" s="184"/>
      <c r="G39" s="328"/>
      <c r="H39" s="329"/>
    </row>
    <row r="40" spans="1:8" ht="15">
      <c r="A40" s="362" t="s">
        <v>114</v>
      </c>
      <c r="B40" s="363"/>
      <c r="C40" s="364"/>
      <c r="D40" s="69"/>
      <c r="E40" s="184"/>
      <c r="F40" s="184"/>
      <c r="G40" s="328"/>
      <c r="H40" s="329"/>
    </row>
    <row r="41" spans="1:8" ht="15">
      <c r="A41" s="365" t="s">
        <v>115</v>
      </c>
      <c r="B41" s="366"/>
      <c r="C41" s="367"/>
      <c r="D41" s="69"/>
      <c r="E41" s="184"/>
      <c r="F41" s="184"/>
      <c r="G41" s="328"/>
      <c r="H41" s="329"/>
    </row>
    <row r="42" spans="1:8" ht="15">
      <c r="A42" s="365" t="s">
        <v>117</v>
      </c>
      <c r="B42" s="366"/>
      <c r="C42" s="367"/>
      <c r="D42" s="69"/>
      <c r="E42" s="184"/>
      <c r="F42" s="184"/>
      <c r="G42" s="328"/>
      <c r="H42" s="329"/>
    </row>
    <row r="43" spans="1:8" ht="15">
      <c r="A43" s="365" t="s">
        <v>116</v>
      </c>
      <c r="B43" s="366"/>
      <c r="C43" s="367"/>
      <c r="D43" s="69"/>
      <c r="E43" s="184"/>
      <c r="F43" s="184"/>
      <c r="G43" s="328"/>
      <c r="H43" s="329"/>
    </row>
    <row r="44" spans="1:8" ht="21">
      <c r="A44" s="365" t="s">
        <v>118</v>
      </c>
      <c r="B44" s="366"/>
      <c r="C44" s="367"/>
      <c r="D44" s="69"/>
      <c r="E44" s="184"/>
      <c r="F44" s="184"/>
      <c r="G44" s="328"/>
      <c r="H44" s="329"/>
    </row>
    <row r="45" spans="1:8" ht="29.25" customHeight="1">
      <c r="A45" s="523" t="s">
        <v>119</v>
      </c>
      <c r="B45" s="524"/>
      <c r="C45" s="525"/>
      <c r="D45" s="69"/>
      <c r="E45" s="184"/>
      <c r="F45" s="184"/>
      <c r="G45" s="328"/>
      <c r="H45" s="329"/>
    </row>
    <row r="46" spans="1:8" s="135" customFormat="1" ht="15">
      <c r="A46" s="355"/>
      <c r="B46" s="356"/>
      <c r="D46" s="357"/>
      <c r="E46" s="358"/>
      <c r="F46" s="358"/>
      <c r="G46" s="359"/>
      <c r="H46" s="360"/>
    </row>
    <row r="47" spans="1:3" s="135" customFormat="1" ht="12.75">
      <c r="A47" s="361"/>
      <c r="B47" s="358"/>
      <c r="C47" s="358"/>
    </row>
    <row r="48" spans="1:3" ht="12.75">
      <c r="A48" s="334"/>
      <c r="C48" s="184"/>
    </row>
    <row r="49" spans="1:3" ht="12.75">
      <c r="A49" s="334"/>
      <c r="C49" s="184"/>
    </row>
    <row r="50" ht="12.75">
      <c r="C50" s="184"/>
    </row>
    <row r="51" ht="12.75">
      <c r="C51" s="184"/>
    </row>
  </sheetData>
  <sheetProtection/>
  <mergeCells count="1">
    <mergeCell ref="A45:C4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3.8515625" style="0" customWidth="1"/>
    <col min="2" max="2" width="105.140625" style="0" customWidth="1"/>
    <col min="3" max="3" width="14.7109375" style="0" bestFit="1" customWidth="1"/>
    <col min="4" max="4" width="13.8515625" style="0" bestFit="1" customWidth="1"/>
    <col min="5" max="6" width="6.8515625" style="0" bestFit="1" customWidth="1"/>
    <col min="8" max="8" width="16.28125" style="184" bestFit="1" customWidth="1"/>
    <col min="10" max="10" width="29.28125" style="0" bestFit="1" customWidth="1"/>
    <col min="12" max="12" width="20.57421875" style="0" customWidth="1"/>
    <col min="13" max="13" width="23.140625" style="0" customWidth="1"/>
  </cols>
  <sheetData>
    <row r="1" ht="12.75">
      <c r="S1" s="69"/>
    </row>
    <row r="2" ht="12.75">
      <c r="S2" s="69"/>
    </row>
    <row r="3" ht="12.75">
      <c r="S3" s="69"/>
    </row>
    <row r="4" ht="12.75">
      <c r="S4" s="69"/>
    </row>
    <row r="5" ht="12.75">
      <c r="S5" s="69"/>
    </row>
    <row r="6" spans="1:19" ht="15.75">
      <c r="A6" s="1" t="s">
        <v>34</v>
      </c>
      <c r="S6" s="69"/>
    </row>
    <row r="7" spans="1:19" ht="15.75">
      <c r="A7" s="1" t="s">
        <v>57</v>
      </c>
      <c r="B7" s="2"/>
      <c r="C7" s="7"/>
      <c r="D7" s="3"/>
      <c r="E7" s="3"/>
      <c r="F7" s="3"/>
      <c r="G7" s="2"/>
      <c r="S7" s="69"/>
    </row>
    <row r="8" spans="1:19" s="377" customFormat="1" ht="20.25">
      <c r="A8" s="368" t="s">
        <v>122</v>
      </c>
      <c r="B8" s="369"/>
      <c r="C8" s="374"/>
      <c r="D8" s="370"/>
      <c r="E8" s="370"/>
      <c r="F8" s="370"/>
      <c r="G8" s="369"/>
      <c r="H8" s="391"/>
      <c r="S8" s="378"/>
    </row>
    <row r="9" spans="1:19" ht="15.75">
      <c r="A9" s="386" t="s">
        <v>121</v>
      </c>
      <c r="B9" s="2"/>
      <c r="C9" s="7"/>
      <c r="D9" s="3"/>
      <c r="E9" s="3"/>
      <c r="F9" s="3"/>
      <c r="G9" s="2"/>
      <c r="S9" s="69"/>
    </row>
    <row r="10" spans="1:19" ht="15.75">
      <c r="A10" s="1"/>
      <c r="B10" s="2"/>
      <c r="C10" s="7"/>
      <c r="D10" s="3"/>
      <c r="E10" s="3"/>
      <c r="F10" s="3"/>
      <c r="G10" s="2"/>
      <c r="H10" s="392"/>
      <c r="I10" s="71"/>
      <c r="J10" s="2"/>
      <c r="K10" s="2"/>
      <c r="L10" s="54"/>
      <c r="S10" s="69"/>
    </row>
    <row r="11" spans="1:19" ht="15.75">
      <c r="A11" s="1"/>
      <c r="B11" s="2"/>
      <c r="C11" s="7"/>
      <c r="D11" s="3"/>
      <c r="E11" s="3"/>
      <c r="F11" s="3"/>
      <c r="G11" s="2"/>
      <c r="H11" s="392"/>
      <c r="I11" s="71"/>
      <c r="J11" s="2"/>
      <c r="K11" s="2"/>
      <c r="L11" s="54"/>
      <c r="S11" s="69"/>
    </row>
    <row r="12" spans="1:19" ht="15.75">
      <c r="A12" s="1" t="s">
        <v>29</v>
      </c>
      <c r="B12" s="2"/>
      <c r="C12" s="7"/>
      <c r="D12" s="3"/>
      <c r="E12" s="3"/>
      <c r="F12" s="3"/>
      <c r="G12" s="2"/>
      <c r="H12" s="392"/>
      <c r="I12" s="71"/>
      <c r="J12" s="2"/>
      <c r="K12" s="2"/>
      <c r="L12" s="54"/>
      <c r="S12" s="69"/>
    </row>
    <row r="13" spans="1:19" ht="15.75">
      <c r="A13" s="92" t="s">
        <v>123</v>
      </c>
      <c r="B13" s="2"/>
      <c r="C13" s="7"/>
      <c r="D13" s="3"/>
      <c r="E13" s="3"/>
      <c r="F13" s="3"/>
      <c r="G13" s="2"/>
      <c r="H13" s="392"/>
      <c r="I13" s="71"/>
      <c r="J13" s="2"/>
      <c r="K13" s="2"/>
      <c r="L13" s="54"/>
      <c r="S13" s="69"/>
    </row>
    <row r="14" spans="1:19" ht="15.75">
      <c r="A14" s="92" t="s">
        <v>124</v>
      </c>
      <c r="B14" s="2"/>
      <c r="C14" s="7"/>
      <c r="D14" s="3"/>
      <c r="E14" s="3"/>
      <c r="F14" s="3"/>
      <c r="G14" s="2"/>
      <c r="H14" s="392"/>
      <c r="I14" s="71"/>
      <c r="J14" s="2"/>
      <c r="K14" s="2"/>
      <c r="L14" s="54"/>
      <c r="S14" s="69"/>
    </row>
    <row r="15" spans="1:19" ht="15.75">
      <c r="A15" s="92" t="s">
        <v>76</v>
      </c>
      <c r="B15" s="2"/>
      <c r="C15" s="7"/>
      <c r="D15" s="3"/>
      <c r="E15" s="3"/>
      <c r="F15" s="3"/>
      <c r="G15" s="2"/>
      <c r="H15" s="392"/>
      <c r="I15" s="71"/>
      <c r="J15" s="2"/>
      <c r="K15" s="2"/>
      <c r="L15" s="54"/>
      <c r="S15" s="69"/>
    </row>
    <row r="16" spans="1:19" ht="15.75">
      <c r="A16" s="92" t="s">
        <v>154</v>
      </c>
      <c r="B16" s="2"/>
      <c r="C16" s="7"/>
      <c r="D16" s="3"/>
      <c r="E16" s="3"/>
      <c r="F16" s="3"/>
      <c r="G16" s="2"/>
      <c r="H16" s="392"/>
      <c r="I16" s="71"/>
      <c r="J16" s="2"/>
      <c r="K16" s="2"/>
      <c r="L16" s="54"/>
      <c r="S16" s="69"/>
    </row>
    <row r="17" ht="13.5" thickBot="1"/>
    <row r="18" spans="1:13" ht="39" customHeight="1">
      <c r="A18" s="526" t="s">
        <v>194</v>
      </c>
      <c r="B18" s="528" t="s">
        <v>195</v>
      </c>
      <c r="C18" s="401" t="s">
        <v>42</v>
      </c>
      <c r="D18" s="402" t="s">
        <v>46</v>
      </c>
      <c r="E18" s="401" t="s">
        <v>64</v>
      </c>
      <c r="F18" s="401" t="s">
        <v>125</v>
      </c>
      <c r="H18" s="393" t="s">
        <v>148</v>
      </c>
      <c r="J18" s="393" t="s">
        <v>159</v>
      </c>
      <c r="L18" s="530" t="s">
        <v>158</v>
      </c>
      <c r="M18" s="531"/>
    </row>
    <row r="19" spans="1:13" s="409" customFormat="1" ht="15.75" thickBot="1">
      <c r="A19" s="527"/>
      <c r="B19" s="529"/>
      <c r="C19" s="407" t="s">
        <v>126</v>
      </c>
      <c r="D19" s="408" t="s">
        <v>126</v>
      </c>
      <c r="E19" s="407" t="s">
        <v>126</v>
      </c>
      <c r="F19" s="407" t="s">
        <v>126</v>
      </c>
      <c r="L19" s="410" t="s">
        <v>160</v>
      </c>
      <c r="M19" s="410" t="s">
        <v>161</v>
      </c>
    </row>
    <row r="20" spans="1:13" ht="15">
      <c r="A20" s="283" t="s">
        <v>130</v>
      </c>
      <c r="B20" s="400" t="s">
        <v>189</v>
      </c>
      <c r="C20" s="283" t="s">
        <v>129</v>
      </c>
      <c r="D20" s="284">
        <v>6.2</v>
      </c>
      <c r="E20" s="283">
        <v>15.2</v>
      </c>
      <c r="F20" s="283">
        <v>21.3</v>
      </c>
      <c r="H20" s="340" t="s">
        <v>188</v>
      </c>
      <c r="J20" s="340" t="s">
        <v>152</v>
      </c>
      <c r="L20" s="345" t="s">
        <v>190</v>
      </c>
      <c r="M20" s="345" t="s">
        <v>191</v>
      </c>
    </row>
    <row r="21" spans="1:13" ht="15">
      <c r="A21" s="398" t="s">
        <v>133</v>
      </c>
      <c r="B21" s="397" t="s">
        <v>134</v>
      </c>
      <c r="C21" s="398" t="s">
        <v>129</v>
      </c>
      <c r="D21" s="399">
        <v>5.01</v>
      </c>
      <c r="E21" s="398">
        <v>16.4</v>
      </c>
      <c r="F21" s="398">
        <v>21.4</v>
      </c>
      <c r="H21" s="340" t="s">
        <v>151</v>
      </c>
      <c r="J21" s="340" t="s">
        <v>152</v>
      </c>
      <c r="L21" s="345" t="s">
        <v>167</v>
      </c>
      <c r="M21" s="396" t="s">
        <v>163</v>
      </c>
    </row>
    <row r="22" spans="1:13" ht="15">
      <c r="A22" s="389" t="s">
        <v>127</v>
      </c>
      <c r="B22" s="394" t="s">
        <v>128</v>
      </c>
      <c r="C22" s="389" t="s">
        <v>129</v>
      </c>
      <c r="D22" s="390">
        <v>4.95</v>
      </c>
      <c r="E22" s="389">
        <v>16.4</v>
      </c>
      <c r="F22" s="389">
        <v>22.2</v>
      </c>
      <c r="H22" s="340" t="s">
        <v>149</v>
      </c>
      <c r="J22" s="340" t="s">
        <v>152</v>
      </c>
      <c r="L22" s="345" t="s">
        <v>162</v>
      </c>
      <c r="M22" s="396" t="s">
        <v>164</v>
      </c>
    </row>
    <row r="23" spans="1:13" ht="15.75" thickBot="1">
      <c r="A23" s="403" t="s">
        <v>131</v>
      </c>
      <c r="B23" s="404" t="s">
        <v>132</v>
      </c>
      <c r="C23" s="403" t="s">
        <v>129</v>
      </c>
      <c r="D23" s="405">
        <v>5.27</v>
      </c>
      <c r="E23" s="403">
        <v>17.4</v>
      </c>
      <c r="F23" s="403">
        <v>22.8</v>
      </c>
      <c r="H23" s="340" t="s">
        <v>150</v>
      </c>
      <c r="J23" s="340" t="s">
        <v>152</v>
      </c>
      <c r="L23" s="345" t="s">
        <v>166</v>
      </c>
      <c r="M23" s="396" t="s">
        <v>165</v>
      </c>
    </row>
    <row r="24" ht="13.5" thickBot="1"/>
    <row r="25" spans="1:13" ht="15">
      <c r="A25" s="387" t="s">
        <v>136</v>
      </c>
      <c r="B25" s="395" t="s">
        <v>156</v>
      </c>
      <c r="C25" s="387" t="s">
        <v>129</v>
      </c>
      <c r="D25" s="388">
        <v>5.5</v>
      </c>
      <c r="E25" s="387">
        <v>6.41</v>
      </c>
      <c r="F25" s="387">
        <v>9.94</v>
      </c>
      <c r="H25" s="340" t="s">
        <v>16</v>
      </c>
      <c r="J25" s="340" t="s">
        <v>153</v>
      </c>
      <c r="L25" s="345" t="s">
        <v>171</v>
      </c>
      <c r="M25" s="396" t="s">
        <v>170</v>
      </c>
    </row>
    <row r="26" spans="1:13" ht="15">
      <c r="A26" s="389" t="s">
        <v>137</v>
      </c>
      <c r="B26" s="394" t="s">
        <v>138</v>
      </c>
      <c r="C26" s="389" t="s">
        <v>129</v>
      </c>
      <c r="D26" s="390">
        <v>8.72</v>
      </c>
      <c r="E26" s="389">
        <v>18.9</v>
      </c>
      <c r="F26" s="389">
        <v>26</v>
      </c>
      <c r="H26" s="340" t="s">
        <v>18</v>
      </c>
      <c r="J26" s="340" t="s">
        <v>153</v>
      </c>
      <c r="L26" s="345" t="s">
        <v>173</v>
      </c>
      <c r="M26" s="396" t="s">
        <v>172</v>
      </c>
    </row>
    <row r="27" spans="1:13" ht="15">
      <c r="A27" s="389" t="s">
        <v>139</v>
      </c>
      <c r="B27" s="394" t="s">
        <v>140</v>
      </c>
      <c r="C27" s="389" t="s">
        <v>129</v>
      </c>
      <c r="D27" s="390">
        <v>6.63</v>
      </c>
      <c r="E27" s="389">
        <v>9.57</v>
      </c>
      <c r="F27" s="389">
        <v>13.3</v>
      </c>
      <c r="H27" s="340" t="s">
        <v>36</v>
      </c>
      <c r="J27" s="340" t="s">
        <v>153</v>
      </c>
      <c r="L27" s="345" t="s">
        <v>177</v>
      </c>
      <c r="M27" s="396" t="s">
        <v>174</v>
      </c>
    </row>
    <row r="28" spans="1:13" ht="15">
      <c r="A28" s="398" t="s">
        <v>147</v>
      </c>
      <c r="B28" s="397" t="s">
        <v>186</v>
      </c>
      <c r="C28" s="398" t="s">
        <v>129</v>
      </c>
      <c r="D28" s="399">
        <v>7.54</v>
      </c>
      <c r="E28" s="398">
        <v>9.32</v>
      </c>
      <c r="F28" s="398">
        <v>12.7</v>
      </c>
      <c r="H28" s="340" t="s">
        <v>19</v>
      </c>
      <c r="J28" s="340" t="s">
        <v>153</v>
      </c>
      <c r="L28" s="345" t="s">
        <v>184</v>
      </c>
      <c r="M28" s="396" t="s">
        <v>185</v>
      </c>
    </row>
    <row r="29" spans="1:13" ht="18" customHeight="1">
      <c r="A29" s="389" t="s">
        <v>146</v>
      </c>
      <c r="B29" s="394" t="s">
        <v>157</v>
      </c>
      <c r="C29" s="389">
        <v>0.17</v>
      </c>
      <c r="D29" s="390">
        <v>10.03</v>
      </c>
      <c r="E29" s="389">
        <v>12.8</v>
      </c>
      <c r="F29" s="389">
        <v>20.1</v>
      </c>
      <c r="H29" s="340" t="s">
        <v>37</v>
      </c>
      <c r="J29" s="340" t="s">
        <v>153</v>
      </c>
      <c r="L29" s="345" t="s">
        <v>183</v>
      </c>
      <c r="M29" s="396" t="s">
        <v>182</v>
      </c>
    </row>
    <row r="30" spans="1:13" ht="15">
      <c r="A30" s="389" t="s">
        <v>145</v>
      </c>
      <c r="B30" s="394" t="s">
        <v>155</v>
      </c>
      <c r="C30" s="389" t="s">
        <v>129</v>
      </c>
      <c r="D30" s="390">
        <v>8.41</v>
      </c>
      <c r="E30" s="389">
        <v>10.9</v>
      </c>
      <c r="F30" s="389">
        <v>15.9</v>
      </c>
      <c r="H30" s="340" t="s">
        <v>20</v>
      </c>
      <c r="J30" s="340" t="s">
        <v>153</v>
      </c>
      <c r="L30" s="345" t="s">
        <v>181</v>
      </c>
      <c r="M30" s="396" t="s">
        <v>180</v>
      </c>
    </row>
    <row r="31" spans="1:13" ht="15">
      <c r="A31" s="389" t="s">
        <v>141</v>
      </c>
      <c r="B31" s="394" t="s">
        <v>142</v>
      </c>
      <c r="C31" s="389">
        <v>0.18</v>
      </c>
      <c r="D31" s="390">
        <v>10</v>
      </c>
      <c r="E31" s="389">
        <v>16.8</v>
      </c>
      <c r="F31" s="389">
        <v>27.6</v>
      </c>
      <c r="H31" s="340" t="s">
        <v>38</v>
      </c>
      <c r="J31" s="340" t="s">
        <v>153</v>
      </c>
      <c r="L31" s="345" t="s">
        <v>176</v>
      </c>
      <c r="M31" s="396" t="s">
        <v>175</v>
      </c>
    </row>
    <row r="32" spans="1:13" ht="15">
      <c r="A32" s="389" t="s">
        <v>135</v>
      </c>
      <c r="B32" s="394" t="s">
        <v>187</v>
      </c>
      <c r="C32" s="389" t="s">
        <v>129</v>
      </c>
      <c r="D32" s="390">
        <v>8.32</v>
      </c>
      <c r="E32" s="389">
        <v>12.1</v>
      </c>
      <c r="F32" s="389">
        <v>17.9</v>
      </c>
      <c r="H32" s="340" t="s">
        <v>39</v>
      </c>
      <c r="J32" s="340" t="s">
        <v>153</v>
      </c>
      <c r="L32" s="345" t="s">
        <v>169</v>
      </c>
      <c r="M32" s="396" t="s">
        <v>168</v>
      </c>
    </row>
    <row r="33" spans="1:13" ht="15.75" thickBot="1">
      <c r="A33" s="403" t="s">
        <v>143</v>
      </c>
      <c r="B33" s="404" t="s">
        <v>144</v>
      </c>
      <c r="C33" s="403" t="s">
        <v>129</v>
      </c>
      <c r="D33" s="405">
        <v>5.85</v>
      </c>
      <c r="E33" s="403">
        <v>19.7</v>
      </c>
      <c r="F33" s="403">
        <v>28</v>
      </c>
      <c r="H33" s="340" t="s">
        <v>21</v>
      </c>
      <c r="J33" s="340" t="s">
        <v>153</v>
      </c>
      <c r="L33" s="345" t="s">
        <v>179</v>
      </c>
      <c r="M33" s="396" t="s">
        <v>178</v>
      </c>
    </row>
    <row r="36" spans="1:2" ht="12.75">
      <c r="A36" s="406" t="s">
        <v>193</v>
      </c>
      <c r="B36" s="354"/>
    </row>
  </sheetData>
  <sheetProtection/>
  <mergeCells count="3">
    <mergeCell ref="A18:A19"/>
    <mergeCell ref="B18:B19"/>
    <mergeCell ref="L18:M1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3">
      <selection activeCell="A3" sqref="A3:IV11"/>
    </sheetView>
  </sheetViews>
  <sheetFormatPr defaultColWidth="9.140625" defaultRowHeight="12.75"/>
  <cols>
    <col min="1" max="1" width="41.00390625" style="0" customWidth="1"/>
    <col min="2" max="2" width="47.421875" style="0" bestFit="1" customWidth="1"/>
    <col min="3" max="4" width="18.28125" style="0" customWidth="1"/>
  </cols>
  <sheetData>
    <row r="1" spans="6:22" ht="12.75">
      <c r="F1" s="207"/>
      <c r="V1" s="69"/>
    </row>
    <row r="2" spans="6:22" ht="12.75">
      <c r="F2" s="207"/>
      <c r="V2" s="69"/>
    </row>
    <row r="3" spans="6:22" ht="12.75">
      <c r="F3" s="207"/>
      <c r="V3" s="69"/>
    </row>
    <row r="4" spans="6:22" ht="12.75">
      <c r="F4" s="207"/>
      <c r="V4" s="69"/>
    </row>
    <row r="5" spans="6:22" ht="12.75">
      <c r="F5" s="207"/>
      <c r="V5" s="69"/>
    </row>
    <row r="6" spans="5:22" ht="12.75">
      <c r="E6" s="207"/>
      <c r="F6" s="207"/>
      <c r="V6" s="69"/>
    </row>
    <row r="7" spans="5:22" ht="12.75">
      <c r="E7" s="207"/>
      <c r="F7" s="207"/>
      <c r="V7" s="69"/>
    </row>
    <row r="8" spans="1:22" ht="20.25">
      <c r="A8" s="1" t="s">
        <v>34</v>
      </c>
      <c r="E8" s="373"/>
      <c r="F8" s="373"/>
      <c r="V8" s="69"/>
    </row>
    <row r="9" spans="1:22" ht="20.25">
      <c r="A9" s="1" t="s">
        <v>33</v>
      </c>
      <c r="B9" s="2"/>
      <c r="C9" s="3"/>
      <c r="D9" s="3"/>
      <c r="E9" s="373"/>
      <c r="F9" s="373"/>
      <c r="G9" s="6"/>
      <c r="H9" s="7"/>
      <c r="I9" s="3"/>
      <c r="J9" s="3"/>
      <c r="K9" s="2"/>
      <c r="V9" s="69"/>
    </row>
    <row r="10" spans="1:22" ht="20.25">
      <c r="A10" s="1" t="s">
        <v>35</v>
      </c>
      <c r="B10" s="2"/>
      <c r="C10" s="3"/>
      <c r="D10" s="3"/>
      <c r="E10" s="373"/>
      <c r="F10" s="373"/>
      <c r="G10" s="6"/>
      <c r="H10" s="7"/>
      <c r="I10" s="3"/>
      <c r="J10" s="3"/>
      <c r="K10" s="2"/>
      <c r="V10" s="69"/>
    </row>
    <row r="11" spans="1:22" s="377" customFormat="1" ht="20.25">
      <c r="A11" s="368" t="s">
        <v>198</v>
      </c>
      <c r="B11" s="369"/>
      <c r="C11" s="370"/>
      <c r="D11" s="370"/>
      <c r="E11" s="373"/>
      <c r="F11" s="373"/>
      <c r="G11" s="373"/>
      <c r="H11" s="374"/>
      <c r="I11" s="370"/>
      <c r="J11" s="370"/>
      <c r="K11" s="369"/>
      <c r="L11" s="370"/>
      <c r="M11" s="375"/>
      <c r="N11" s="369"/>
      <c r="O11" s="376"/>
      <c r="V11" s="378"/>
    </row>
    <row r="14" spans="1:10" ht="12.75">
      <c r="A14" s="420" t="s">
        <v>200</v>
      </c>
      <c r="B14" s="421" t="s">
        <v>204</v>
      </c>
      <c r="C14" s="422" t="s">
        <v>205</v>
      </c>
      <c r="D14" s="423"/>
      <c r="E14" s="423"/>
      <c r="F14" s="423"/>
      <c r="G14" s="423"/>
      <c r="H14" s="423"/>
      <c r="I14" s="423"/>
      <c r="J14" s="364"/>
    </row>
    <row r="15" spans="1:10" ht="12.75">
      <c r="A15" s="424"/>
      <c r="B15" s="425"/>
      <c r="C15" s="426"/>
      <c r="D15" s="426"/>
      <c r="E15" s="426"/>
      <c r="F15" s="426"/>
      <c r="G15" s="426"/>
      <c r="H15" s="426"/>
      <c r="I15" s="426"/>
      <c r="J15" s="367"/>
    </row>
    <row r="16" spans="1:10" ht="12.75">
      <c r="A16" s="427" t="s">
        <v>201</v>
      </c>
      <c r="B16" s="428" t="s">
        <v>206</v>
      </c>
      <c r="C16" s="429" t="s">
        <v>211</v>
      </c>
      <c r="D16" s="430"/>
      <c r="E16" s="430"/>
      <c r="F16" s="430"/>
      <c r="G16" s="430"/>
      <c r="H16" s="430"/>
      <c r="I16" s="430"/>
      <c r="J16" s="431"/>
    </row>
    <row r="17" spans="1:10" ht="12.75">
      <c r="A17" s="432" t="s">
        <v>202</v>
      </c>
      <c r="B17" s="433" t="s">
        <v>207</v>
      </c>
      <c r="C17" s="434" t="s">
        <v>212</v>
      </c>
      <c r="D17" s="435"/>
      <c r="E17" s="435"/>
      <c r="F17" s="435"/>
      <c r="G17" s="435"/>
      <c r="H17" s="435"/>
      <c r="I17" s="435"/>
      <c r="J17" s="436"/>
    </row>
    <row r="18" spans="1:10" ht="24.75" customHeight="1">
      <c r="A18" s="427" t="s">
        <v>203</v>
      </c>
      <c r="B18" s="428" t="s">
        <v>215</v>
      </c>
      <c r="C18" s="532" t="s">
        <v>216</v>
      </c>
      <c r="D18" s="533"/>
      <c r="E18" s="533"/>
      <c r="F18" s="533"/>
      <c r="G18" s="533"/>
      <c r="H18" s="533"/>
      <c r="I18" s="533"/>
      <c r="J18" s="534"/>
    </row>
    <row r="20" spans="1:12" ht="12.75">
      <c r="A20" s="453" t="s">
        <v>199</v>
      </c>
      <c r="B20" s="454" t="s">
        <v>204</v>
      </c>
      <c r="C20" s="455" t="s">
        <v>210</v>
      </c>
      <c r="D20" s="437"/>
      <c r="E20" s="437"/>
      <c r="F20" s="437"/>
      <c r="G20" s="437"/>
      <c r="H20" s="437"/>
      <c r="I20" s="437"/>
      <c r="J20" s="437"/>
      <c r="K20" s="437"/>
      <c r="L20" s="438"/>
    </row>
    <row r="21" spans="1:12" ht="12.75">
      <c r="A21" s="439"/>
      <c r="B21" s="440"/>
      <c r="C21" s="441"/>
      <c r="D21" s="441"/>
      <c r="E21" s="441"/>
      <c r="F21" s="441"/>
      <c r="G21" s="441"/>
      <c r="H21" s="441"/>
      <c r="I21" s="441"/>
      <c r="J21" s="441"/>
      <c r="K21" s="441"/>
      <c r="L21" s="442"/>
    </row>
    <row r="22" spans="1:12" ht="24">
      <c r="A22" s="443" t="s">
        <v>208</v>
      </c>
      <c r="B22" s="444" t="s">
        <v>217</v>
      </c>
      <c r="C22" s="445" t="s">
        <v>213</v>
      </c>
      <c r="D22" s="446"/>
      <c r="E22" s="446"/>
      <c r="F22" s="446"/>
      <c r="G22" s="446"/>
      <c r="H22" s="446"/>
      <c r="I22" s="446"/>
      <c r="J22" s="446"/>
      <c r="K22" s="446"/>
      <c r="L22" s="447"/>
    </row>
    <row r="23" spans="1:12" ht="36">
      <c r="A23" s="448" t="s">
        <v>209</v>
      </c>
      <c r="B23" s="449" t="s">
        <v>214</v>
      </c>
      <c r="C23" s="450" t="s">
        <v>224</v>
      </c>
      <c r="D23" s="451"/>
      <c r="E23" s="451"/>
      <c r="F23" s="451"/>
      <c r="G23" s="451"/>
      <c r="H23" s="451"/>
      <c r="I23" s="451"/>
      <c r="J23" s="451"/>
      <c r="K23" s="451"/>
      <c r="L23" s="452"/>
    </row>
  </sheetData>
  <sheetProtection/>
  <mergeCells count="1">
    <mergeCell ref="C18:J1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D6" sqref="D6"/>
    </sheetView>
  </sheetViews>
  <sheetFormatPr defaultColWidth="9.140625" defaultRowHeight="12.75"/>
  <cols>
    <col min="9" max="9" width="13.421875" style="0" customWidth="1"/>
    <col min="18" max="18" width="11.57421875" style="0" customWidth="1"/>
  </cols>
  <sheetData>
    <row r="1" spans="1:22" ht="20.25">
      <c r="A1" s="1" t="s">
        <v>34</v>
      </c>
      <c r="E1" s="373"/>
      <c r="F1" s="373"/>
      <c r="V1" s="69"/>
    </row>
    <row r="2" spans="1:22" ht="20.25">
      <c r="A2" s="1" t="s">
        <v>33</v>
      </c>
      <c r="B2" s="2"/>
      <c r="C2" s="3"/>
      <c r="D2" s="3"/>
      <c r="E2" s="373"/>
      <c r="F2" s="373"/>
      <c r="G2" s="6"/>
      <c r="H2" s="7"/>
      <c r="I2" s="3"/>
      <c r="J2" s="3"/>
      <c r="K2" s="2"/>
      <c r="V2" s="69"/>
    </row>
    <row r="3" spans="1:22" ht="20.25">
      <c r="A3" s="1" t="s">
        <v>35</v>
      </c>
      <c r="B3" s="2"/>
      <c r="C3" s="3"/>
      <c r="D3" s="3"/>
      <c r="E3" s="373"/>
      <c r="F3" s="373"/>
      <c r="G3" s="6"/>
      <c r="H3" s="7"/>
      <c r="I3" s="3"/>
      <c r="J3" s="3"/>
      <c r="K3" s="2"/>
      <c r="V3" s="69"/>
    </row>
    <row r="4" spans="1:22" s="377" customFormat="1" ht="20.25">
      <c r="A4" s="368" t="s">
        <v>242</v>
      </c>
      <c r="B4" s="369"/>
      <c r="C4" s="370"/>
      <c r="D4" s="370"/>
      <c r="E4" s="373"/>
      <c r="F4" s="373"/>
      <c r="G4" s="373"/>
      <c r="H4" s="374"/>
      <c r="I4" s="370"/>
      <c r="J4" s="370"/>
      <c r="K4" s="369"/>
      <c r="L4" s="370"/>
      <c r="M4" s="375"/>
      <c r="N4" s="369"/>
      <c r="O4" s="376"/>
      <c r="V4" s="378"/>
    </row>
    <row r="5" ht="20.25">
      <c r="A5" s="505" t="s">
        <v>227</v>
      </c>
    </row>
    <row r="8" spans="1:19" s="487" customFormat="1" ht="15.75">
      <c r="A8" s="485" t="s">
        <v>226</v>
      </c>
      <c r="B8" s="486" t="s">
        <v>227</v>
      </c>
      <c r="I8" s="488"/>
      <c r="K8" s="489"/>
      <c r="L8" s="489"/>
      <c r="M8" s="489"/>
      <c r="N8" s="489"/>
      <c r="O8" s="490"/>
      <c r="S8" s="491"/>
    </row>
    <row r="9" spans="9:19" ht="15.75">
      <c r="I9" s="3"/>
      <c r="J9" s="3"/>
      <c r="O9" s="184"/>
      <c r="S9" s="69"/>
    </row>
    <row r="10" spans="5:19" ht="12.75">
      <c r="E10" s="412" t="s">
        <v>60</v>
      </c>
      <c r="H10" s="412" t="s">
        <v>60</v>
      </c>
      <c r="K10" s="492" t="s">
        <v>228</v>
      </c>
      <c r="M10" s="506"/>
      <c r="O10" s="184"/>
      <c r="S10" s="69"/>
    </row>
    <row r="11" spans="5:19" ht="12.75">
      <c r="E11" s="412" t="s">
        <v>3</v>
      </c>
      <c r="H11" s="412" t="s">
        <v>3</v>
      </c>
      <c r="K11" s="493"/>
      <c r="M11" s="506"/>
      <c r="O11" s="184"/>
      <c r="S11" s="69"/>
    </row>
    <row r="12" spans="5:19" ht="12.75">
      <c r="E12" s="412" t="s">
        <v>229</v>
      </c>
      <c r="H12" s="412" t="s">
        <v>225</v>
      </c>
      <c r="K12" s="494" t="s">
        <v>230</v>
      </c>
      <c r="M12" s="506" t="s">
        <v>231</v>
      </c>
      <c r="O12" s="184"/>
      <c r="S12" s="69"/>
    </row>
    <row r="13" spans="1:19" s="173" customFormat="1" ht="16.5" thickBot="1">
      <c r="A13" s="147"/>
      <c r="E13" s="416" t="s">
        <v>1</v>
      </c>
      <c r="F13" s="147" t="s">
        <v>232</v>
      </c>
      <c r="G13" s="173" t="s">
        <v>233</v>
      </c>
      <c r="H13" s="416" t="s">
        <v>1</v>
      </c>
      <c r="I13" s="147" t="s">
        <v>232</v>
      </c>
      <c r="J13" s="173" t="s">
        <v>233</v>
      </c>
      <c r="K13" s="495" t="s">
        <v>232</v>
      </c>
      <c r="L13" s="173" t="s">
        <v>233</v>
      </c>
      <c r="M13" s="507"/>
      <c r="N13" s="173" t="s">
        <v>234</v>
      </c>
      <c r="O13" s="496" t="s">
        <v>235</v>
      </c>
      <c r="Q13" s="147" t="s">
        <v>236</v>
      </c>
      <c r="S13" s="147" t="s">
        <v>237</v>
      </c>
    </row>
    <row r="14" spans="3:21" ht="13.5" thickBot="1">
      <c r="C14" s="170" t="s">
        <v>8</v>
      </c>
      <c r="O14" s="184"/>
      <c r="S14" s="69"/>
      <c r="U14" s="170" t="s">
        <v>8</v>
      </c>
    </row>
    <row r="15" spans="3:21" ht="15.75" thickBot="1">
      <c r="C15" s="171" t="s">
        <v>16</v>
      </c>
      <c r="E15" s="412" t="s">
        <v>238</v>
      </c>
      <c r="F15" s="184">
        <v>1</v>
      </c>
      <c r="G15" s="184">
        <v>1</v>
      </c>
      <c r="H15" s="498">
        <f>'pm2018-nitr-fosf-comparazione'!H66</f>
        <v>1.2415349887133185</v>
      </c>
      <c r="I15" s="499">
        <v>3</v>
      </c>
      <c r="J15" s="498">
        <v>0.25</v>
      </c>
      <c r="K15" s="496">
        <v>1</v>
      </c>
      <c r="L15" s="496">
        <v>1</v>
      </c>
      <c r="M15" s="500">
        <f>'[1]pm2018-27-04-2018-risultati'!E44-100</f>
        <v>10</v>
      </c>
      <c r="N15" s="184">
        <v>3</v>
      </c>
      <c r="O15" s="498">
        <v>0.25</v>
      </c>
      <c r="Q15" s="156">
        <f>(G15+J15+L15+O15)/5</f>
        <v>0.5</v>
      </c>
      <c r="S15" s="509" t="s">
        <v>239</v>
      </c>
      <c r="U15" s="171" t="s">
        <v>16</v>
      </c>
    </row>
    <row r="16" spans="3:21" ht="15.75" thickBot="1">
      <c r="C16" s="171" t="s">
        <v>18</v>
      </c>
      <c r="E16" s="412" t="s">
        <v>238</v>
      </c>
      <c r="F16" s="184">
        <v>1</v>
      </c>
      <c r="G16" s="184">
        <v>1</v>
      </c>
      <c r="H16" s="498">
        <f>'pm2018-nitr-fosf-comparazione'!H67</f>
        <v>1.9683972911963885</v>
      </c>
      <c r="I16" s="499">
        <v>3</v>
      </c>
      <c r="J16" s="498">
        <v>0.25</v>
      </c>
      <c r="K16" s="496">
        <v>1</v>
      </c>
      <c r="L16" s="496">
        <v>1</v>
      </c>
      <c r="M16" s="500">
        <f>'[1]pm2018-27-04-2018-risultati'!E45-100</f>
        <v>7.25</v>
      </c>
      <c r="N16" s="184">
        <v>1</v>
      </c>
      <c r="O16" s="498">
        <v>1</v>
      </c>
      <c r="Q16" s="156">
        <f aca="true" t="shared" si="0" ref="Q16:Q27">(G16+J16+L16+O16)/5</f>
        <v>0.65</v>
      </c>
      <c r="S16" s="509" t="s">
        <v>239</v>
      </c>
      <c r="U16" s="171" t="s">
        <v>18</v>
      </c>
    </row>
    <row r="17" spans="3:21" ht="15.75" thickBot="1">
      <c r="C17" s="171" t="s">
        <v>36</v>
      </c>
      <c r="E17" s="412" t="s">
        <v>238</v>
      </c>
      <c r="F17" s="184">
        <v>1</v>
      </c>
      <c r="G17" s="184">
        <v>1</v>
      </c>
      <c r="H17" s="498">
        <f>'pm2018-nitr-fosf-comparazione'!H68</f>
        <v>1.4966139954853275</v>
      </c>
      <c r="I17" s="499">
        <v>3</v>
      </c>
      <c r="J17" s="498">
        <v>0.25</v>
      </c>
      <c r="K17" s="496">
        <v>1</v>
      </c>
      <c r="L17" s="496">
        <v>1</v>
      </c>
      <c r="M17" s="500">
        <f>'[1]pm2018-27-04-2018-risultati'!E46-100</f>
        <v>20</v>
      </c>
      <c r="N17" s="184">
        <v>2</v>
      </c>
      <c r="O17" s="498">
        <v>0.5</v>
      </c>
      <c r="Q17" s="156">
        <f t="shared" si="0"/>
        <v>0.55</v>
      </c>
      <c r="S17" s="509" t="s">
        <v>239</v>
      </c>
      <c r="U17" s="171" t="s">
        <v>36</v>
      </c>
    </row>
    <row r="18" spans="3:21" ht="15.75" thickBot="1">
      <c r="C18" s="172" t="s">
        <v>19</v>
      </c>
      <c r="E18" s="412" t="s">
        <v>238</v>
      </c>
      <c r="F18" s="184">
        <v>1</v>
      </c>
      <c r="G18" s="184">
        <v>1</v>
      </c>
      <c r="H18" s="498">
        <f>'pm2018-nitr-fosf-comparazione'!H69</f>
        <v>1.7020316027088038</v>
      </c>
      <c r="I18" s="499">
        <v>3</v>
      </c>
      <c r="J18" s="498">
        <v>0.25</v>
      </c>
      <c r="K18" s="496">
        <v>1</v>
      </c>
      <c r="L18" s="496">
        <v>1</v>
      </c>
      <c r="M18" s="500">
        <f>'[1]pm2018-27-04-2018-risultati'!E47-100</f>
        <v>16</v>
      </c>
      <c r="N18" s="184">
        <v>1</v>
      </c>
      <c r="O18" s="498">
        <v>1</v>
      </c>
      <c r="Q18" s="156">
        <f t="shared" si="0"/>
        <v>0.65</v>
      </c>
      <c r="S18" s="509" t="s">
        <v>239</v>
      </c>
      <c r="U18" s="172" t="s">
        <v>19</v>
      </c>
    </row>
    <row r="19" spans="3:21" ht="15.75" thickBot="1">
      <c r="C19" s="172" t="s">
        <v>37</v>
      </c>
      <c r="E19" s="412">
        <f>0.17/3</f>
        <v>0.05666666666666667</v>
      </c>
      <c r="F19" s="184">
        <v>2</v>
      </c>
      <c r="G19" s="184">
        <v>0.5</v>
      </c>
      <c r="H19" s="498">
        <f>'pm2018-nitr-fosf-comparazione'!H70</f>
        <v>2.2641083521444694</v>
      </c>
      <c r="I19" s="501">
        <v>3</v>
      </c>
      <c r="J19" s="498">
        <v>0.25</v>
      </c>
      <c r="K19" s="496">
        <v>1</v>
      </c>
      <c r="L19" s="496">
        <v>1</v>
      </c>
      <c r="M19" s="184">
        <v>0.5</v>
      </c>
      <c r="N19" s="184">
        <v>2</v>
      </c>
      <c r="O19" s="498">
        <v>0.5</v>
      </c>
      <c r="Q19" s="156">
        <f t="shared" si="0"/>
        <v>0.45</v>
      </c>
      <c r="S19" s="510" t="s">
        <v>240</v>
      </c>
      <c r="U19" s="172" t="s">
        <v>37</v>
      </c>
    </row>
    <row r="20" spans="2:21" ht="15.75" thickBot="1">
      <c r="B20" s="54"/>
      <c r="C20" s="171" t="s">
        <v>20</v>
      </c>
      <c r="E20" s="412" t="s">
        <v>238</v>
      </c>
      <c r="F20" s="184">
        <v>1</v>
      </c>
      <c r="G20" s="184">
        <v>1</v>
      </c>
      <c r="H20" s="498">
        <f>'pm2018-nitr-fosf-comparazione'!H71</f>
        <v>1.8984198645598196</v>
      </c>
      <c r="I20" s="502">
        <v>3</v>
      </c>
      <c r="J20" s="498">
        <v>0.25</v>
      </c>
      <c r="K20" s="496">
        <v>1</v>
      </c>
      <c r="L20" s="496">
        <v>1</v>
      </c>
      <c r="M20" s="500">
        <v>15</v>
      </c>
      <c r="N20" s="184">
        <v>2</v>
      </c>
      <c r="O20" s="498">
        <v>0.5</v>
      </c>
      <c r="Q20" s="156">
        <f t="shared" si="0"/>
        <v>0.55</v>
      </c>
      <c r="S20" s="509" t="s">
        <v>239</v>
      </c>
      <c r="U20" s="171" t="s">
        <v>20</v>
      </c>
    </row>
    <row r="21" spans="3:21" ht="15.75" thickBot="1">
      <c r="C21" s="171" t="s">
        <v>38</v>
      </c>
      <c r="E21" s="412">
        <f>0.18/3</f>
        <v>0.06</v>
      </c>
      <c r="F21" s="184">
        <v>2</v>
      </c>
      <c r="G21" s="184">
        <v>0.5</v>
      </c>
      <c r="H21" s="498">
        <f>'pm2018-nitr-fosf-comparazione'!H72</f>
        <v>2.2573363431151243</v>
      </c>
      <c r="I21" s="502">
        <v>3</v>
      </c>
      <c r="J21" s="498">
        <v>0.25</v>
      </c>
      <c r="K21" s="496">
        <v>1</v>
      </c>
      <c r="L21" s="496">
        <v>1</v>
      </c>
      <c r="M21" s="500">
        <v>22</v>
      </c>
      <c r="N21" s="184">
        <v>3</v>
      </c>
      <c r="O21" s="498">
        <v>0.25</v>
      </c>
      <c r="Q21" s="156">
        <f t="shared" si="0"/>
        <v>0.4</v>
      </c>
      <c r="S21" s="510" t="s">
        <v>240</v>
      </c>
      <c r="U21" s="171" t="s">
        <v>38</v>
      </c>
    </row>
    <row r="22" spans="3:21" ht="15.75" thickBot="1">
      <c r="C22" s="171" t="s">
        <v>39</v>
      </c>
      <c r="E22" s="412" t="s">
        <v>238</v>
      </c>
      <c r="F22" s="184">
        <v>1</v>
      </c>
      <c r="G22" s="184">
        <v>1</v>
      </c>
      <c r="H22" s="498">
        <f>'pm2018-nitr-fosf-comparazione'!H73</f>
        <v>1.8781038374717836</v>
      </c>
      <c r="I22" s="503">
        <v>3</v>
      </c>
      <c r="J22" s="498">
        <v>0.25</v>
      </c>
      <c r="K22" s="496">
        <v>1</v>
      </c>
      <c r="L22" s="496">
        <v>1</v>
      </c>
      <c r="M22" s="500">
        <v>21</v>
      </c>
      <c r="N22" s="184">
        <v>3</v>
      </c>
      <c r="O22" s="498">
        <v>0.25</v>
      </c>
      <c r="Q22" s="156">
        <f t="shared" si="0"/>
        <v>0.5</v>
      </c>
      <c r="S22" s="509" t="s">
        <v>239</v>
      </c>
      <c r="U22" s="171" t="s">
        <v>39</v>
      </c>
    </row>
    <row r="23" spans="3:21" ht="15.75" thickBot="1">
      <c r="C23" s="504" t="s">
        <v>241</v>
      </c>
      <c r="E23" s="412" t="s">
        <v>238</v>
      </c>
      <c r="F23" s="184">
        <v>1</v>
      </c>
      <c r="G23" s="184">
        <v>1</v>
      </c>
      <c r="H23" s="498">
        <v>1.4</v>
      </c>
      <c r="I23" s="499">
        <v>3</v>
      </c>
      <c r="J23" s="498">
        <v>0.25</v>
      </c>
      <c r="K23" s="496">
        <v>1</v>
      </c>
      <c r="L23" s="496">
        <v>1</v>
      </c>
      <c r="M23" s="500">
        <f>171-100</f>
        <v>71</v>
      </c>
      <c r="N23" s="184">
        <v>4</v>
      </c>
      <c r="O23" s="498">
        <v>0.125</v>
      </c>
      <c r="Q23" s="156">
        <f t="shared" si="0"/>
        <v>0.475</v>
      </c>
      <c r="S23" s="510" t="s">
        <v>240</v>
      </c>
      <c r="U23" s="504" t="s">
        <v>241</v>
      </c>
    </row>
    <row r="24" spans="3:21" ht="15.75" thickBot="1">
      <c r="C24" s="504" t="s">
        <v>151</v>
      </c>
      <c r="E24" s="412" t="s">
        <v>238</v>
      </c>
      <c r="F24" s="184">
        <v>1</v>
      </c>
      <c r="G24" s="184">
        <v>1</v>
      </c>
      <c r="H24" s="498">
        <v>1.13</v>
      </c>
      <c r="I24" s="499">
        <v>2</v>
      </c>
      <c r="J24" s="498">
        <v>0.5</v>
      </c>
      <c r="K24" s="496">
        <v>1</v>
      </c>
      <c r="L24" s="496">
        <v>1</v>
      </c>
      <c r="M24" s="500">
        <f>145-100</f>
        <v>45</v>
      </c>
      <c r="N24" s="184">
        <v>4</v>
      </c>
      <c r="O24" s="498">
        <v>0.125</v>
      </c>
      <c r="Q24" s="156">
        <f t="shared" si="0"/>
        <v>0.525</v>
      </c>
      <c r="S24" s="509" t="s">
        <v>239</v>
      </c>
      <c r="U24" s="504" t="s">
        <v>151</v>
      </c>
    </row>
    <row r="25" spans="3:21" ht="15.75" thickBot="1">
      <c r="C25" s="504" t="s">
        <v>149</v>
      </c>
      <c r="E25" s="412" t="s">
        <v>238</v>
      </c>
      <c r="F25" s="184">
        <v>1</v>
      </c>
      <c r="G25" s="184">
        <v>1</v>
      </c>
      <c r="H25" s="498">
        <v>1.12</v>
      </c>
      <c r="I25" s="499">
        <v>2</v>
      </c>
      <c r="J25" s="498">
        <v>0.5</v>
      </c>
      <c r="K25" s="496">
        <v>1</v>
      </c>
      <c r="L25" s="496">
        <v>1</v>
      </c>
      <c r="M25" s="500">
        <f>170-100</f>
        <v>70</v>
      </c>
      <c r="N25" s="184">
        <v>4</v>
      </c>
      <c r="O25" s="498">
        <v>0.125</v>
      </c>
      <c r="Q25" s="156">
        <f t="shared" si="0"/>
        <v>0.525</v>
      </c>
      <c r="S25" s="509" t="s">
        <v>239</v>
      </c>
      <c r="U25" s="504" t="s">
        <v>149</v>
      </c>
    </row>
    <row r="26" spans="3:21" ht="15.75" thickBot="1">
      <c r="C26" s="504" t="s">
        <v>150</v>
      </c>
      <c r="E26" s="412" t="s">
        <v>238</v>
      </c>
      <c r="F26" s="184">
        <v>1</v>
      </c>
      <c r="G26" s="184">
        <v>1</v>
      </c>
      <c r="H26" s="498">
        <v>1.19</v>
      </c>
      <c r="I26" s="499">
        <v>2</v>
      </c>
      <c r="J26" s="498">
        <v>0.5</v>
      </c>
      <c r="K26" s="496">
        <v>1</v>
      </c>
      <c r="L26" s="496">
        <v>1</v>
      </c>
      <c r="M26" s="500">
        <v>36</v>
      </c>
      <c r="N26" s="184">
        <v>3</v>
      </c>
      <c r="O26" s="498">
        <v>0.25</v>
      </c>
      <c r="Q26" s="156">
        <f t="shared" si="0"/>
        <v>0.55</v>
      </c>
      <c r="S26" s="509" t="s">
        <v>239</v>
      </c>
      <c r="U26" s="504" t="s">
        <v>150</v>
      </c>
    </row>
    <row r="27" spans="3:21" ht="15.75" thickBot="1">
      <c r="C27" s="278" t="s">
        <v>21</v>
      </c>
      <c r="E27" s="412" t="s">
        <v>238</v>
      </c>
      <c r="F27" s="184">
        <v>1</v>
      </c>
      <c r="G27" s="184">
        <v>1</v>
      </c>
      <c r="H27" s="498">
        <v>1.32</v>
      </c>
      <c r="I27" s="501">
        <v>3</v>
      </c>
      <c r="J27" s="498">
        <v>0.25</v>
      </c>
      <c r="K27" s="496">
        <v>1</v>
      </c>
      <c r="L27" s="496">
        <v>1</v>
      </c>
      <c r="M27" s="500">
        <v>24</v>
      </c>
      <c r="N27" s="184">
        <v>3</v>
      </c>
      <c r="O27" s="498">
        <v>0.25</v>
      </c>
      <c r="Q27" s="156">
        <f t="shared" si="0"/>
        <v>0.5</v>
      </c>
      <c r="S27" s="509" t="s">
        <v>239</v>
      </c>
      <c r="U27" s="278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sandrosutti</dc:creator>
  <cp:keywords/>
  <dc:description/>
  <cp:lastModifiedBy>Sandro</cp:lastModifiedBy>
  <cp:lastPrinted>2014-05-17T10:08:50Z</cp:lastPrinted>
  <dcterms:created xsi:type="dcterms:W3CDTF">2014-08-18T17:10:54Z</dcterms:created>
  <dcterms:modified xsi:type="dcterms:W3CDTF">2018-05-29T12:54:48Z</dcterms:modified>
  <cp:category/>
  <cp:version/>
  <cp:contentType/>
  <cp:contentStatus/>
</cp:coreProperties>
</file>